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drawings/drawing4.xml" ContentType="application/vnd.openxmlformats-officedocument.drawing+xml"/>
  <Override PartName="/xl/comments4.xml" ContentType="application/vnd.openxmlformats-officedocument.spreadsheetml.comment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lima\Documents\UTPL\OneDrive para la Empresa\Archivos SIG\"/>
    </mc:Choice>
  </mc:AlternateContent>
  <xr:revisionPtr revIDLastSave="0" documentId="8_{2EF5DFAB-A257-4AF4-968E-BB3C35DEB20A}" xr6:coauthVersionLast="47" xr6:coauthVersionMax="47" xr10:uidLastSave="{00000000-0000-0000-0000-000000000000}"/>
  <bookViews>
    <workbookView xWindow="0" yWindow="0" windowWidth="19200" windowHeight="11520" activeTab="1" xr2:uid="{00000000-000D-0000-FFFF-FFFF00000000}"/>
  </bookViews>
  <sheets>
    <sheet name="UTM a Grados decimales" sheetId="4" r:id="rId1"/>
    <sheet name="Grados decimales a UTM" sheetId="5" r:id="rId2"/>
    <sheet name="G-M-S a Grados decimales" sheetId="1" r:id="rId3"/>
    <sheet name="Grados decimales a G-M-S" sheetId="6" r:id="rId4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5" i="6" l="1"/>
  <c r="I5" i="6" s="1"/>
  <c r="J5" i="6" s="1"/>
  <c r="K5" i="6"/>
  <c r="H6" i="6"/>
  <c r="I6" i="6" s="1"/>
  <c r="J6" i="6" s="1"/>
  <c r="K6" i="6"/>
  <c r="H7" i="6"/>
  <c r="I7" i="6" s="1"/>
  <c r="J7" i="6" s="1"/>
  <c r="K7" i="6"/>
  <c r="H8" i="6"/>
  <c r="I8" i="6" s="1"/>
  <c r="J8" i="6" s="1"/>
  <c r="K8" i="6"/>
  <c r="H9" i="6"/>
  <c r="I9" i="6" s="1"/>
  <c r="J9" i="6" s="1"/>
  <c r="K9" i="6"/>
  <c r="H10" i="6"/>
  <c r="I10" i="6" s="1"/>
  <c r="J10" i="6" s="1"/>
  <c r="K10" i="6"/>
  <c r="H11" i="6"/>
  <c r="I11" i="6" s="1"/>
  <c r="J11" i="6" s="1"/>
  <c r="K11" i="6"/>
  <c r="H12" i="6"/>
  <c r="I12" i="6" s="1"/>
  <c r="J12" i="6" s="1"/>
  <c r="K12" i="6"/>
  <c r="H13" i="6"/>
  <c r="I13" i="6" s="1"/>
  <c r="J13" i="6" s="1"/>
  <c r="K13" i="6"/>
  <c r="H14" i="6"/>
  <c r="I14" i="6" s="1"/>
  <c r="J14" i="6" s="1"/>
  <c r="K14" i="6"/>
  <c r="H15" i="6"/>
  <c r="I15" i="6" s="1"/>
  <c r="J15" i="6" s="1"/>
  <c r="K15" i="6"/>
  <c r="H16" i="6"/>
  <c r="I16" i="6" s="1"/>
  <c r="J16" i="6" s="1"/>
  <c r="K16" i="6"/>
  <c r="H17" i="6"/>
  <c r="I17" i="6" s="1"/>
  <c r="J17" i="6" s="1"/>
  <c r="K17" i="6"/>
  <c r="H18" i="6"/>
  <c r="I18" i="6" s="1"/>
  <c r="J18" i="6" s="1"/>
  <c r="K18" i="6"/>
  <c r="H19" i="6"/>
  <c r="I19" i="6" s="1"/>
  <c r="J19" i="6" s="1"/>
  <c r="K19" i="6"/>
  <c r="H20" i="6"/>
  <c r="I20" i="6" s="1"/>
  <c r="J20" i="6" s="1"/>
  <c r="K20" i="6"/>
  <c r="H21" i="6"/>
  <c r="I21" i="6" s="1"/>
  <c r="J21" i="6" s="1"/>
  <c r="K21" i="6"/>
  <c r="H22" i="6"/>
  <c r="I22" i="6" s="1"/>
  <c r="J22" i="6" s="1"/>
  <c r="K22" i="6"/>
  <c r="H23" i="6"/>
  <c r="I23" i="6" s="1"/>
  <c r="J23" i="6" s="1"/>
  <c r="K23" i="6"/>
  <c r="H24" i="6"/>
  <c r="I24" i="6" s="1"/>
  <c r="J24" i="6" s="1"/>
  <c r="K24" i="6"/>
  <c r="H25" i="6"/>
  <c r="I25" i="6" s="1"/>
  <c r="J25" i="6" s="1"/>
  <c r="K25" i="6"/>
  <c r="H26" i="6"/>
  <c r="I26" i="6" s="1"/>
  <c r="J26" i="6" s="1"/>
  <c r="K26" i="6"/>
  <c r="H27" i="6"/>
  <c r="I27" i="6" s="1"/>
  <c r="J27" i="6" s="1"/>
  <c r="K27" i="6"/>
  <c r="H28" i="6"/>
  <c r="I28" i="6" s="1"/>
  <c r="J28" i="6" s="1"/>
  <c r="K28" i="6"/>
  <c r="K4" i="6"/>
  <c r="H4" i="6"/>
  <c r="D5" i="6"/>
  <c r="E5" i="6" s="1"/>
  <c r="G5" i="6"/>
  <c r="D6" i="6"/>
  <c r="E6" i="6" s="1"/>
  <c r="G6" i="6"/>
  <c r="D7" i="6"/>
  <c r="E7" i="6" s="1"/>
  <c r="G7" i="6"/>
  <c r="D8" i="6"/>
  <c r="E8" i="6" s="1"/>
  <c r="G8" i="6"/>
  <c r="D9" i="6"/>
  <c r="E9" i="6" s="1"/>
  <c r="G9" i="6"/>
  <c r="D10" i="6"/>
  <c r="E10" i="6" s="1"/>
  <c r="G10" i="6"/>
  <c r="D11" i="6"/>
  <c r="E11" i="6" s="1"/>
  <c r="G11" i="6"/>
  <c r="D12" i="6"/>
  <c r="E12" i="6" s="1"/>
  <c r="G12" i="6"/>
  <c r="D13" i="6"/>
  <c r="E13" i="6" s="1"/>
  <c r="G13" i="6"/>
  <c r="D14" i="6"/>
  <c r="E14" i="6" s="1"/>
  <c r="G14" i="6"/>
  <c r="D15" i="6"/>
  <c r="E15" i="6" s="1"/>
  <c r="G15" i="6"/>
  <c r="D16" i="6"/>
  <c r="E16" i="6" s="1"/>
  <c r="G16" i="6"/>
  <c r="D17" i="6"/>
  <c r="E17" i="6" s="1"/>
  <c r="G17" i="6"/>
  <c r="D18" i="6"/>
  <c r="E18" i="6" s="1"/>
  <c r="G18" i="6"/>
  <c r="D19" i="6"/>
  <c r="E19" i="6" s="1"/>
  <c r="G19" i="6"/>
  <c r="D20" i="6"/>
  <c r="E20" i="6" s="1"/>
  <c r="G20" i="6"/>
  <c r="D21" i="6"/>
  <c r="E21" i="6" s="1"/>
  <c r="G21" i="6"/>
  <c r="D22" i="6"/>
  <c r="E22" i="6" s="1"/>
  <c r="G22" i="6"/>
  <c r="D23" i="6"/>
  <c r="E23" i="6" s="1"/>
  <c r="G23" i="6"/>
  <c r="D24" i="6"/>
  <c r="E24" i="6" s="1"/>
  <c r="G24" i="6"/>
  <c r="D25" i="6"/>
  <c r="E25" i="6" s="1"/>
  <c r="G25" i="6"/>
  <c r="D26" i="6"/>
  <c r="E26" i="6" s="1"/>
  <c r="G26" i="6"/>
  <c r="D27" i="6"/>
  <c r="E27" i="6" s="1"/>
  <c r="G27" i="6"/>
  <c r="D28" i="6"/>
  <c r="E28" i="6" s="1"/>
  <c r="G28" i="6"/>
  <c r="G4" i="6"/>
  <c r="D4" i="6"/>
  <c r="I4" i="6" l="1"/>
  <c r="J4" i="6" s="1"/>
  <c r="F28" i="6"/>
  <c r="F27" i="6"/>
  <c r="F26" i="6"/>
  <c r="F25" i="6"/>
  <c r="F24" i="6"/>
  <c r="F23" i="6"/>
  <c r="F22" i="6"/>
  <c r="F21" i="6"/>
  <c r="F20" i="6"/>
  <c r="F19" i="6"/>
  <c r="F18" i="6"/>
  <c r="F17" i="6"/>
  <c r="F16" i="6"/>
  <c r="F15" i="6"/>
  <c r="F14" i="6"/>
  <c r="F13" i="6"/>
  <c r="F12" i="6"/>
  <c r="F11" i="6"/>
  <c r="F10" i="6"/>
  <c r="F9" i="6"/>
  <c r="F8" i="6"/>
  <c r="F7" i="6"/>
  <c r="F6" i="6"/>
  <c r="F5" i="6"/>
  <c r="E4" i="6"/>
  <c r="F4" i="6" s="1"/>
  <c r="G27" i="5"/>
  <c r="H27" i="5"/>
  <c r="Q27" i="5" s="1"/>
  <c r="R27" i="5" s="1"/>
  <c r="I27" i="5"/>
  <c r="J27" i="5" s="1"/>
  <c r="K27" i="5" s="1"/>
  <c r="AA27" i="5"/>
  <c r="Z27" i="5" s="1"/>
  <c r="AB27" i="5"/>
  <c r="AE27" i="5"/>
  <c r="AF27" i="5"/>
  <c r="AG27" i="5"/>
  <c r="AH27" i="5" s="1"/>
  <c r="AJ27" i="5"/>
  <c r="AK27" i="5"/>
  <c r="G28" i="5"/>
  <c r="H28" i="5"/>
  <c r="Q28" i="5" s="1"/>
  <c r="R28" i="5" s="1"/>
  <c r="I28" i="5"/>
  <c r="J28" i="5" s="1"/>
  <c r="AA28" i="5"/>
  <c r="Z28" i="5" s="1"/>
  <c r="AB28" i="5"/>
  <c r="AG28" i="5"/>
  <c r="AH28" i="5"/>
  <c r="AI28" i="5"/>
  <c r="AN28" i="5" s="1"/>
  <c r="AJ28" i="5"/>
  <c r="AK28" i="5" s="1"/>
  <c r="G29" i="5"/>
  <c r="H29" i="5"/>
  <c r="I29" i="5"/>
  <c r="J29" i="5"/>
  <c r="AA29" i="5"/>
  <c r="AF29" i="5" s="1"/>
  <c r="AB29" i="5"/>
  <c r="AG29" i="5"/>
  <c r="AJ29" i="5"/>
  <c r="G30" i="5"/>
  <c r="H30" i="5"/>
  <c r="I30" i="5"/>
  <c r="J30" i="5"/>
  <c r="AA30" i="5"/>
  <c r="Z30" i="5" s="1"/>
  <c r="AB30" i="5"/>
  <c r="AG30" i="5"/>
  <c r="AJ30" i="5"/>
  <c r="AK30" i="5" s="1"/>
  <c r="G31" i="5"/>
  <c r="H31" i="5"/>
  <c r="I31" i="5"/>
  <c r="J31" i="5" s="1"/>
  <c r="K31" i="5" s="1"/>
  <c r="N31" i="5" s="1"/>
  <c r="AA31" i="5"/>
  <c r="Z31" i="5" s="1"/>
  <c r="AB31" i="5"/>
  <c r="AF31" i="5"/>
  <c r="AG31" i="5"/>
  <c r="AH31" i="5" s="1"/>
  <c r="AJ31" i="5"/>
  <c r="AK31" i="5"/>
  <c r="AL31" i="5" s="1"/>
  <c r="N29" i="4"/>
  <c r="O29" i="4"/>
  <c r="K29" i="4" s="1"/>
  <c r="N30" i="4"/>
  <c r="O30" i="4"/>
  <c r="K30" i="4" s="1"/>
  <c r="N31" i="4"/>
  <c r="O31" i="4"/>
  <c r="K31" i="4" s="1"/>
  <c r="N27" i="4"/>
  <c r="O27" i="4"/>
  <c r="K27" i="4" s="1"/>
  <c r="Q27" i="4" s="1"/>
  <c r="R27" i="4" s="1"/>
  <c r="N28" i="4"/>
  <c r="O28" i="4"/>
  <c r="K28" i="4" s="1"/>
  <c r="AG24" i="5"/>
  <c r="AJ24" i="5"/>
  <c r="AK24" i="5" s="1"/>
  <c r="AL24" i="5" s="1"/>
  <c r="AG25" i="5"/>
  <c r="AH25" i="5"/>
  <c r="AI25" i="5"/>
  <c r="AJ25" i="5"/>
  <c r="AK25" i="5" s="1"/>
  <c r="AG26" i="5"/>
  <c r="AH26" i="5"/>
  <c r="AI26" i="5" s="1"/>
  <c r="AN26" i="5" s="1"/>
  <c r="AJ26" i="5"/>
  <c r="AK26" i="5" s="1"/>
  <c r="AL26" i="5" s="1"/>
  <c r="AA5" i="5"/>
  <c r="Z5" i="5" s="1"/>
  <c r="AB5" i="5"/>
  <c r="AA6" i="5"/>
  <c r="AB6" i="5"/>
  <c r="AA7" i="5"/>
  <c r="AB7" i="5"/>
  <c r="AA8" i="5"/>
  <c r="AB8" i="5"/>
  <c r="AA9" i="5"/>
  <c r="AB9" i="5"/>
  <c r="AA10" i="5"/>
  <c r="AB10" i="5"/>
  <c r="AA11" i="5"/>
  <c r="AB11" i="5"/>
  <c r="AA12" i="5"/>
  <c r="AB12" i="5"/>
  <c r="AA13" i="5"/>
  <c r="AB13" i="5"/>
  <c r="AA14" i="5"/>
  <c r="AB14" i="5"/>
  <c r="AA15" i="5"/>
  <c r="AB15" i="5"/>
  <c r="AA16" i="5"/>
  <c r="AB16" i="5"/>
  <c r="AA17" i="5"/>
  <c r="AB17" i="5"/>
  <c r="AA18" i="5"/>
  <c r="AB18" i="5"/>
  <c r="AA19" i="5"/>
  <c r="AB19" i="5"/>
  <c r="AA20" i="5"/>
  <c r="AB20" i="5"/>
  <c r="AA21" i="5"/>
  <c r="AB21" i="5"/>
  <c r="AA22" i="5"/>
  <c r="AB22" i="5"/>
  <c r="AA23" i="5"/>
  <c r="AB23" i="5"/>
  <c r="AA24" i="5"/>
  <c r="AB24" i="5"/>
  <c r="AA25" i="5"/>
  <c r="AB25" i="5"/>
  <c r="AA26" i="5"/>
  <c r="AB26" i="5"/>
  <c r="AG5" i="5"/>
  <c r="AJ5" i="5"/>
  <c r="AK5" i="5" s="1"/>
  <c r="AG6" i="5"/>
  <c r="AH6" i="5" s="1"/>
  <c r="AJ6" i="5"/>
  <c r="AG7" i="5"/>
  <c r="AH7" i="5" s="1"/>
  <c r="AJ7" i="5"/>
  <c r="AK7" i="5" s="1"/>
  <c r="AG8" i="5"/>
  <c r="AJ8" i="5"/>
  <c r="AK8" i="5" s="1"/>
  <c r="AG9" i="5"/>
  <c r="AH9" i="5" s="1"/>
  <c r="AJ9" i="5"/>
  <c r="AG10" i="5"/>
  <c r="AH10" i="5" s="1"/>
  <c r="AJ10" i="5"/>
  <c r="AK10" i="5" s="1"/>
  <c r="AG11" i="5"/>
  <c r="AJ11" i="5"/>
  <c r="AK11" i="5"/>
  <c r="AG12" i="5"/>
  <c r="AH12" i="5" s="1"/>
  <c r="AJ12" i="5"/>
  <c r="AK12" i="5" s="1"/>
  <c r="AG13" i="5"/>
  <c r="AH13" i="5" s="1"/>
  <c r="AJ13" i="5"/>
  <c r="AK13" i="5" s="1"/>
  <c r="AL13" i="5" s="1"/>
  <c r="AG14" i="5"/>
  <c r="AJ14" i="5"/>
  <c r="AK14" i="5"/>
  <c r="AG15" i="5"/>
  <c r="AJ15" i="5"/>
  <c r="AK15" i="5" s="1"/>
  <c r="AG16" i="5"/>
  <c r="AH16" i="5" s="1"/>
  <c r="AJ16" i="5"/>
  <c r="AG17" i="5"/>
  <c r="AJ17" i="5"/>
  <c r="AK17" i="5" s="1"/>
  <c r="AL17" i="5" s="1"/>
  <c r="AG18" i="5"/>
  <c r="AJ18" i="5"/>
  <c r="AK18" i="5" s="1"/>
  <c r="AG19" i="5"/>
  <c r="AH19" i="5" s="1"/>
  <c r="AI19" i="5" s="1"/>
  <c r="AJ19" i="5"/>
  <c r="AK19" i="5" s="1"/>
  <c r="AG20" i="5"/>
  <c r="AH20" i="5" s="1"/>
  <c r="AJ20" i="5"/>
  <c r="AK20" i="5" s="1"/>
  <c r="AG21" i="5"/>
  <c r="AJ21" i="5"/>
  <c r="AK21" i="5" s="1"/>
  <c r="AG22" i="5"/>
  <c r="AJ22" i="5"/>
  <c r="AK22" i="5" s="1"/>
  <c r="AG23" i="5"/>
  <c r="AH23" i="5" s="1"/>
  <c r="AJ23" i="5"/>
  <c r="AK23" i="5"/>
  <c r="AL23" i="5" s="1"/>
  <c r="O26" i="4"/>
  <c r="K26" i="4" s="1"/>
  <c r="Q26" i="4" s="1"/>
  <c r="R26" i="4" s="1"/>
  <c r="N26" i="4"/>
  <c r="O25" i="4"/>
  <c r="K25" i="4" s="1"/>
  <c r="N25" i="4"/>
  <c r="O24" i="4"/>
  <c r="K24" i="4" s="1"/>
  <c r="Q24" i="4" s="1"/>
  <c r="N24" i="4"/>
  <c r="O23" i="4"/>
  <c r="K23" i="4" s="1"/>
  <c r="N23" i="4"/>
  <c r="O22" i="4"/>
  <c r="N22" i="4"/>
  <c r="O21" i="4"/>
  <c r="K21" i="4" s="1"/>
  <c r="N21" i="4"/>
  <c r="O20" i="4"/>
  <c r="K20" i="4" s="1"/>
  <c r="N20" i="4"/>
  <c r="O19" i="4"/>
  <c r="K19" i="4" s="1"/>
  <c r="N19" i="4"/>
  <c r="O18" i="4"/>
  <c r="K18" i="4" s="1"/>
  <c r="N18" i="4"/>
  <c r="O17" i="4"/>
  <c r="K17" i="4" s="1"/>
  <c r="N17" i="4"/>
  <c r="O16" i="4"/>
  <c r="N16" i="4"/>
  <c r="O15" i="4"/>
  <c r="K15" i="4" s="1"/>
  <c r="N15" i="4"/>
  <c r="O14" i="4"/>
  <c r="K14" i="4" s="1"/>
  <c r="N14" i="4"/>
  <c r="O13" i="4"/>
  <c r="K13" i="4" s="1"/>
  <c r="N13" i="4"/>
  <c r="J5" i="1"/>
  <c r="K5" i="1"/>
  <c r="J6" i="1"/>
  <c r="K6" i="1"/>
  <c r="J7" i="1"/>
  <c r="K7" i="1"/>
  <c r="J8" i="1"/>
  <c r="K8" i="1"/>
  <c r="J9" i="1"/>
  <c r="K9" i="1"/>
  <c r="J10" i="1"/>
  <c r="K10" i="1"/>
  <c r="J11" i="1"/>
  <c r="K11" i="1"/>
  <c r="J12" i="1"/>
  <c r="K12" i="1"/>
  <c r="J13" i="1"/>
  <c r="K13" i="1"/>
  <c r="J14" i="1"/>
  <c r="K14" i="1"/>
  <c r="J15" i="1"/>
  <c r="K15" i="1"/>
  <c r="J16" i="1"/>
  <c r="K16" i="1"/>
  <c r="J17" i="1"/>
  <c r="K17" i="1"/>
  <c r="J18" i="1"/>
  <c r="K18" i="1"/>
  <c r="J19" i="1"/>
  <c r="K19" i="1"/>
  <c r="J20" i="1"/>
  <c r="K20" i="1"/>
  <c r="J21" i="1"/>
  <c r="K21" i="1"/>
  <c r="J22" i="1"/>
  <c r="K22" i="1"/>
  <c r="J23" i="1"/>
  <c r="K23" i="1"/>
  <c r="J24" i="1"/>
  <c r="K24" i="1"/>
  <c r="J25" i="1"/>
  <c r="K25" i="1"/>
  <c r="J26" i="1"/>
  <c r="K26" i="1"/>
  <c r="J27" i="1"/>
  <c r="K27" i="1"/>
  <c r="J28" i="1"/>
  <c r="K28" i="1"/>
  <c r="K4" i="1"/>
  <c r="J4" i="1"/>
  <c r="G15" i="5"/>
  <c r="H15" i="5"/>
  <c r="Q15" i="5" s="1"/>
  <c r="R15" i="5" s="1"/>
  <c r="I15" i="5"/>
  <c r="J15" i="5"/>
  <c r="K15" i="5"/>
  <c r="L15" i="5" s="1"/>
  <c r="M15" i="5" s="1"/>
  <c r="G16" i="5"/>
  <c r="H16" i="5"/>
  <c r="I16" i="5"/>
  <c r="J16" i="5" s="1"/>
  <c r="G17" i="5"/>
  <c r="H17" i="5"/>
  <c r="Q17" i="5" s="1"/>
  <c r="R17" i="5" s="1"/>
  <c r="I17" i="5"/>
  <c r="J17" i="5" s="1"/>
  <c r="G18" i="5"/>
  <c r="H18" i="5"/>
  <c r="Q18" i="5" s="1"/>
  <c r="I18" i="5"/>
  <c r="J18" i="5" s="1"/>
  <c r="G19" i="5"/>
  <c r="H19" i="5"/>
  <c r="Q19" i="5"/>
  <c r="R19" i="5" s="1"/>
  <c r="I19" i="5"/>
  <c r="J19" i="5"/>
  <c r="K19" i="5"/>
  <c r="L19" i="5" s="1"/>
  <c r="M19" i="5" s="1"/>
  <c r="G20" i="5"/>
  <c r="H20" i="5"/>
  <c r="Q20" i="5"/>
  <c r="S20" i="5" s="1"/>
  <c r="I20" i="5"/>
  <c r="J20" i="5" s="1"/>
  <c r="G21" i="5"/>
  <c r="H21" i="5"/>
  <c r="Q21" i="5"/>
  <c r="R21" i="5" s="1"/>
  <c r="I21" i="5"/>
  <c r="J21" i="5" s="1"/>
  <c r="G22" i="5"/>
  <c r="H22" i="5"/>
  <c r="Q22" i="5" s="1"/>
  <c r="I22" i="5"/>
  <c r="AE22" i="5" s="1"/>
  <c r="G23" i="5"/>
  <c r="H23" i="5"/>
  <c r="Q23" i="5" s="1"/>
  <c r="R23" i="5" s="1"/>
  <c r="I23" i="5"/>
  <c r="J23" i="5" s="1"/>
  <c r="G24" i="5"/>
  <c r="H24" i="5"/>
  <c r="Q24" i="5" s="1"/>
  <c r="R24" i="5" s="1"/>
  <c r="I24" i="5"/>
  <c r="J24" i="5" s="1"/>
  <c r="G25" i="5"/>
  <c r="H25" i="5"/>
  <c r="Q25" i="5" s="1"/>
  <c r="R25" i="5" s="1"/>
  <c r="I25" i="5"/>
  <c r="J25" i="5" s="1"/>
  <c r="K25" i="5" s="1"/>
  <c r="G26" i="5"/>
  <c r="H26" i="5"/>
  <c r="Q26" i="5" s="1"/>
  <c r="R26" i="5" s="1"/>
  <c r="I26" i="5"/>
  <c r="AE26" i="5" s="1"/>
  <c r="G8" i="5"/>
  <c r="H8" i="5"/>
  <c r="Q8" i="5" s="1"/>
  <c r="I8" i="5"/>
  <c r="J8" i="5" s="1"/>
  <c r="K8" i="5" s="1"/>
  <c r="G9" i="5"/>
  <c r="H9" i="5"/>
  <c r="Q9" i="5" s="1"/>
  <c r="I9" i="5"/>
  <c r="J9" i="5" s="1"/>
  <c r="K9" i="5" s="1"/>
  <c r="G10" i="5"/>
  <c r="H10" i="5"/>
  <c r="Q10" i="5" s="1"/>
  <c r="I10" i="5"/>
  <c r="AE10" i="5"/>
  <c r="J10" i="5"/>
  <c r="G11" i="5"/>
  <c r="H11" i="5"/>
  <c r="I11" i="5"/>
  <c r="J11" i="5" s="1"/>
  <c r="G12" i="5"/>
  <c r="H12" i="5"/>
  <c r="Q12" i="5"/>
  <c r="S12" i="5" s="1"/>
  <c r="I12" i="5"/>
  <c r="AE12" i="5" s="1"/>
  <c r="G13" i="5"/>
  <c r="H13" i="5"/>
  <c r="Q13" i="5" s="1"/>
  <c r="R13" i="5" s="1"/>
  <c r="I13" i="5"/>
  <c r="J13" i="5" s="1"/>
  <c r="K13" i="5" s="1"/>
  <c r="G14" i="5"/>
  <c r="H14" i="5"/>
  <c r="Q14" i="5" s="1"/>
  <c r="R14" i="5" s="1"/>
  <c r="I14" i="5"/>
  <c r="AE14" i="5" s="1"/>
  <c r="G5" i="5"/>
  <c r="H5" i="5"/>
  <c r="Q5" i="5" s="1"/>
  <c r="R5" i="5" s="1"/>
  <c r="I5" i="5"/>
  <c r="J5" i="5"/>
  <c r="K5" i="5" s="1"/>
  <c r="G6" i="5"/>
  <c r="H6" i="5"/>
  <c r="Q6" i="5" s="1"/>
  <c r="R6" i="5" s="1"/>
  <c r="I6" i="5"/>
  <c r="J6" i="5" s="1"/>
  <c r="K6" i="5" s="1"/>
  <c r="G7" i="5"/>
  <c r="H7" i="5"/>
  <c r="I7" i="5"/>
  <c r="AE7" i="5" s="1"/>
  <c r="J7" i="5"/>
  <c r="K7" i="5" s="1"/>
  <c r="C22" i="5"/>
  <c r="C20" i="5"/>
  <c r="C21" i="5" s="1"/>
  <c r="C19" i="5"/>
  <c r="C19" i="4"/>
  <c r="N5" i="4"/>
  <c r="O5" i="4"/>
  <c r="K5" i="4" s="1"/>
  <c r="N6" i="4"/>
  <c r="O6" i="4"/>
  <c r="N7" i="4"/>
  <c r="O7" i="4"/>
  <c r="K7" i="4" s="1"/>
  <c r="N8" i="4"/>
  <c r="O8" i="4"/>
  <c r="K8" i="4" s="1"/>
  <c r="Q8" i="4" s="1"/>
  <c r="N9" i="4"/>
  <c r="O9" i="4"/>
  <c r="K9" i="4" s="1"/>
  <c r="N10" i="4"/>
  <c r="O10" i="4"/>
  <c r="K10" i="4" s="1"/>
  <c r="N11" i="4"/>
  <c r="O11" i="4"/>
  <c r="K11" i="4" s="1"/>
  <c r="Q11" i="4" s="1"/>
  <c r="R11" i="4" s="1"/>
  <c r="N12" i="4"/>
  <c r="O12" i="4"/>
  <c r="K12" i="4" s="1"/>
  <c r="C22" i="4"/>
  <c r="C20" i="4"/>
  <c r="C21" i="4" s="1"/>
  <c r="AE20" i="5"/>
  <c r="AE11" i="5"/>
  <c r="AE16" i="5"/>
  <c r="AE5" i="5"/>
  <c r="O19" i="5"/>
  <c r="AE9" i="5"/>
  <c r="AE15" i="5"/>
  <c r="R20" i="5"/>
  <c r="R12" i="5"/>
  <c r="AL11" i="5"/>
  <c r="AM11" i="5"/>
  <c r="AE13" i="5"/>
  <c r="Q7" i="5"/>
  <c r="R7" i="5"/>
  <c r="J26" i="5"/>
  <c r="S7" i="5"/>
  <c r="T7" i="5" s="1"/>
  <c r="U7" i="5" s="1"/>
  <c r="Q31" i="5"/>
  <c r="S31" i="5" s="1"/>
  <c r="R31" i="5"/>
  <c r="Q29" i="5"/>
  <c r="R29" i="5" s="1"/>
  <c r="V13" i="5"/>
  <c r="O21" i="5"/>
  <c r="V9" i="5"/>
  <c r="O17" i="5"/>
  <c r="O20" i="5"/>
  <c r="AE19" i="5"/>
  <c r="AH22" i="5"/>
  <c r="V23" i="5"/>
  <c r="AI22" i="5"/>
  <c r="AN22" i="5" s="1"/>
  <c r="AH14" i="5"/>
  <c r="AK16" i="5"/>
  <c r="K10" i="5"/>
  <c r="AH29" i="5"/>
  <c r="AI29" i="5"/>
  <c r="AN29" i="5"/>
  <c r="Q11" i="5"/>
  <c r="Q16" i="5"/>
  <c r="R16" i="5" s="1"/>
  <c r="AH8" i="5"/>
  <c r="AI8" i="5" s="1"/>
  <c r="AH24" i="5"/>
  <c r="AI24" i="5"/>
  <c r="AN24" i="5" s="1"/>
  <c r="AH30" i="5"/>
  <c r="AI30" i="5"/>
  <c r="AN30" i="5" s="1"/>
  <c r="Q30" i="5"/>
  <c r="V27" i="5"/>
  <c r="AH18" i="5"/>
  <c r="AH5" i="5"/>
  <c r="O31" i="5"/>
  <c r="AK29" i="5"/>
  <c r="AM26" i="5"/>
  <c r="AE30" i="5"/>
  <c r="AE29" i="5"/>
  <c r="AI5" i="5"/>
  <c r="S16" i="5"/>
  <c r="T16" i="5" s="1"/>
  <c r="U16" i="5" s="1"/>
  <c r="R11" i="5"/>
  <c r="S11" i="5"/>
  <c r="AI14" i="5"/>
  <c r="AN14" i="5" s="1"/>
  <c r="AN5" i="5" l="1"/>
  <c r="T31" i="5"/>
  <c r="U31" i="5" s="1"/>
  <c r="O7" i="5"/>
  <c r="T12" i="5"/>
  <c r="U12" i="5" s="1"/>
  <c r="P19" i="5"/>
  <c r="AF26" i="5"/>
  <c r="Z26" i="5"/>
  <c r="AF25" i="5"/>
  <c r="Z25" i="5"/>
  <c r="AF24" i="5"/>
  <c r="Z24" i="5"/>
  <c r="AF23" i="5"/>
  <c r="Z23" i="5"/>
  <c r="AF22" i="5"/>
  <c r="Z22" i="5"/>
  <c r="AF21" i="5"/>
  <c r="Z21" i="5"/>
  <c r="AF20" i="5"/>
  <c r="Z20" i="5"/>
  <c r="AF19" i="5"/>
  <c r="Z19" i="5"/>
  <c r="AF18" i="5"/>
  <c r="Z18" i="5"/>
  <c r="AF17" i="5"/>
  <c r="Z17" i="5"/>
  <c r="AF16" i="5"/>
  <c r="Z16" i="5"/>
  <c r="AF15" i="5"/>
  <c r="Z15" i="5"/>
  <c r="AF14" i="5"/>
  <c r="Z14" i="5"/>
  <c r="AF13" i="5"/>
  <c r="Z13" i="5"/>
  <c r="AF12" i="5"/>
  <c r="Z12" i="5"/>
  <c r="AF11" i="5"/>
  <c r="Z11" i="5"/>
  <c r="AF10" i="5"/>
  <c r="Z10" i="5"/>
  <c r="AF9" i="5"/>
  <c r="Z9" i="5"/>
  <c r="AF8" i="5"/>
  <c r="Z8" i="5"/>
  <c r="AF7" i="5"/>
  <c r="Z7" i="5"/>
  <c r="AF6" i="5"/>
  <c r="Z6" i="5"/>
  <c r="K29" i="5"/>
  <c r="K28" i="5"/>
  <c r="S8" i="5"/>
  <c r="R8" i="5"/>
  <c r="T8" i="5" s="1"/>
  <c r="U8" i="5" s="1"/>
  <c r="K17" i="5"/>
  <c r="L17" i="5" s="1"/>
  <c r="M17" i="5" s="1"/>
  <c r="AL21" i="5"/>
  <c r="AM21" i="5" s="1"/>
  <c r="AL25" i="5"/>
  <c r="AM25" i="5" s="1"/>
  <c r="AL29" i="5"/>
  <c r="AM29" i="5" s="1"/>
  <c r="AL12" i="5"/>
  <c r="AM12" i="5" s="1"/>
  <c r="T11" i="5"/>
  <c r="U11" i="5" s="1"/>
  <c r="S30" i="5"/>
  <c r="R30" i="5"/>
  <c r="AL16" i="5"/>
  <c r="AM16" i="5"/>
  <c r="S10" i="5"/>
  <c r="R10" i="5"/>
  <c r="AL22" i="5"/>
  <c r="AM22" i="5" s="1"/>
  <c r="S14" i="5"/>
  <c r="T14" i="5" s="1"/>
  <c r="U14" i="5" s="1"/>
  <c r="AE17" i="5"/>
  <c r="AE21" i="5"/>
  <c r="K24" i="5"/>
  <c r="L24" i="5" s="1"/>
  <c r="M24" i="5" s="1"/>
  <c r="P24" i="5" s="1"/>
  <c r="T20" i="5"/>
  <c r="U20" i="5" s="1"/>
  <c r="S17" i="5"/>
  <c r="T17" i="5" s="1"/>
  <c r="U17" i="5" s="1"/>
  <c r="AI18" i="5"/>
  <c r="AN8" i="5"/>
  <c r="AN25" i="5"/>
  <c r="K30" i="5"/>
  <c r="AL28" i="5"/>
  <c r="AM28" i="5" s="1"/>
  <c r="AE31" i="5"/>
  <c r="L10" i="5"/>
  <c r="M10" i="5" s="1"/>
  <c r="P10" i="5" s="1"/>
  <c r="AL30" i="5"/>
  <c r="AM30" i="5" s="1"/>
  <c r="J22" i="5"/>
  <c r="K22" i="5" s="1"/>
  <c r="N22" i="5" s="1"/>
  <c r="S29" i="5"/>
  <c r="T29" i="5" s="1"/>
  <c r="U29" i="5" s="1"/>
  <c r="AE24" i="5"/>
  <c r="O10" i="5"/>
  <c r="AH21" i="5"/>
  <c r="AI21" i="5" s="1"/>
  <c r="AN21" i="5" s="1"/>
  <c r="AE25" i="5"/>
  <c r="AM23" i="5"/>
  <c r="AE8" i="5"/>
  <c r="S13" i="5"/>
  <c r="T13" i="5" s="1"/>
  <c r="U13" i="5" s="1"/>
  <c r="J12" i="5"/>
  <c r="K12" i="5"/>
  <c r="N12" i="5" s="1"/>
  <c r="K11" i="5"/>
  <c r="K23" i="5"/>
  <c r="N23" i="5" s="1"/>
  <c r="K21" i="5"/>
  <c r="L21" i="5" s="1"/>
  <c r="M21" i="5" s="1"/>
  <c r="K18" i="5"/>
  <c r="L18" i="5" s="1"/>
  <c r="M18" i="5" s="1"/>
  <c r="P18" i="5" s="1"/>
  <c r="AL18" i="5"/>
  <c r="AL14" i="5"/>
  <c r="AM14" i="5" s="1"/>
  <c r="AF30" i="5"/>
  <c r="AL27" i="5"/>
  <c r="AM27" i="5" s="1"/>
  <c r="S27" i="5"/>
  <c r="T27" i="5" s="1"/>
  <c r="U27" i="5" s="1"/>
  <c r="N10" i="5"/>
  <c r="S23" i="5"/>
  <c r="T23" i="5" s="1"/>
  <c r="U23" i="5" s="1"/>
  <c r="AM24" i="5"/>
  <c r="K26" i="5"/>
  <c r="L26" i="5" s="1"/>
  <c r="M26" i="5" s="1"/>
  <c r="AM18" i="5"/>
  <c r="AE18" i="5"/>
  <c r="S19" i="5"/>
  <c r="T19" i="5" s="1"/>
  <c r="U19" i="5" s="1"/>
  <c r="K20" i="5"/>
  <c r="AI20" i="5"/>
  <c r="AM17" i="5"/>
  <c r="S28" i="5"/>
  <c r="T28" i="5" s="1"/>
  <c r="U28" i="5" s="1"/>
  <c r="AF5" i="5"/>
  <c r="L5" i="5"/>
  <c r="M5" i="5" s="1"/>
  <c r="P5" i="5" s="1"/>
  <c r="AI10" i="5"/>
  <c r="AN10" i="5"/>
  <c r="AI27" i="5"/>
  <c r="AN27" i="5" s="1"/>
  <c r="AI13" i="5"/>
  <c r="AN13" i="5" s="1"/>
  <c r="N11" i="5"/>
  <c r="L11" i="5"/>
  <c r="M11" i="5" s="1"/>
  <c r="P11" i="5" s="1"/>
  <c r="L23" i="5"/>
  <c r="M23" i="5" s="1"/>
  <c r="P23" i="5" s="1"/>
  <c r="N18" i="5"/>
  <c r="AI23" i="5"/>
  <c r="AN23" i="5" s="1"/>
  <c r="L29" i="5"/>
  <c r="M29" i="5" s="1"/>
  <c r="N29" i="5"/>
  <c r="N28" i="5"/>
  <c r="L28" i="5"/>
  <c r="M28" i="5" s="1"/>
  <c r="AI12" i="5"/>
  <c r="AN12" i="5" s="1"/>
  <c r="L13" i="5"/>
  <c r="M13" i="5" s="1"/>
  <c r="P13" i="5" s="1"/>
  <c r="N13" i="5"/>
  <c r="L8" i="5"/>
  <c r="M8" i="5" s="1"/>
  <c r="P8" i="5" s="1"/>
  <c r="N8" i="5"/>
  <c r="L20" i="5"/>
  <c r="M20" i="5" s="1"/>
  <c r="P20" i="5" s="1"/>
  <c r="AC20" i="5" s="1"/>
  <c r="N20" i="5"/>
  <c r="K16" i="5"/>
  <c r="AI9" i="5"/>
  <c r="AN9" i="5" s="1"/>
  <c r="N30" i="5"/>
  <c r="L30" i="5"/>
  <c r="M30" i="5" s="1"/>
  <c r="L27" i="5"/>
  <c r="M27" i="5" s="1"/>
  <c r="N27" i="5"/>
  <c r="AI31" i="5"/>
  <c r="AN31" i="5" s="1"/>
  <c r="N19" i="5"/>
  <c r="N17" i="5"/>
  <c r="AE6" i="5"/>
  <c r="AN18" i="5"/>
  <c r="J14" i="5"/>
  <c r="K14" i="5" s="1"/>
  <c r="L31" i="5"/>
  <c r="M31" i="5" s="1"/>
  <c r="AN19" i="5"/>
  <c r="AH17" i="5"/>
  <c r="AI17" i="5" s="1"/>
  <c r="N15" i="5"/>
  <c r="N26" i="5"/>
  <c r="AI16" i="5"/>
  <c r="AN16" i="5" s="1"/>
  <c r="AH15" i="5"/>
  <c r="AH11" i="5"/>
  <c r="AI11" i="5" s="1"/>
  <c r="AN11" i="5" s="1"/>
  <c r="AI6" i="5"/>
  <c r="AN6" i="5" s="1"/>
  <c r="AE23" i="5"/>
  <c r="AI7" i="5"/>
  <c r="AN7" i="5" s="1"/>
  <c r="AN20" i="5"/>
  <c r="N25" i="5"/>
  <c r="N21" i="5"/>
  <c r="AE28" i="5"/>
  <c r="N5" i="5"/>
  <c r="AL8" i="5"/>
  <c r="AM8" i="5" s="1"/>
  <c r="AL10" i="5"/>
  <c r="AM10" i="5" s="1"/>
  <c r="R22" i="5"/>
  <c r="S22" i="5"/>
  <c r="AL7" i="5"/>
  <c r="AM7" i="5" s="1"/>
  <c r="R9" i="5"/>
  <c r="S9" i="5"/>
  <c r="S18" i="5"/>
  <c r="R18" i="5"/>
  <c r="AL19" i="5"/>
  <c r="AM19" i="5" s="1"/>
  <c r="N6" i="5"/>
  <c r="S26" i="5"/>
  <c r="T26" i="5" s="1"/>
  <c r="U26" i="5" s="1"/>
  <c r="S15" i="5"/>
  <c r="T15" i="5" s="1"/>
  <c r="U15" i="5" s="1"/>
  <c r="L6" i="5"/>
  <c r="M6" i="5" s="1"/>
  <c r="P6" i="5" s="1"/>
  <c r="L7" i="5"/>
  <c r="M7" i="5" s="1"/>
  <c r="P7" i="5" s="1"/>
  <c r="AL20" i="5"/>
  <c r="N9" i="5"/>
  <c r="S21" i="5"/>
  <c r="T21" i="5" s="1"/>
  <c r="U21" i="5" s="1"/>
  <c r="AK9" i="5"/>
  <c r="AL9" i="5" s="1"/>
  <c r="AK6" i="5"/>
  <c r="AL6" i="5" s="1"/>
  <c r="Z29" i="5"/>
  <c r="AF28" i="5"/>
  <c r="L25" i="5"/>
  <c r="M25" i="5" s="1"/>
  <c r="P25" i="5" s="1"/>
  <c r="S6" i="5"/>
  <c r="T6" i="5" s="1"/>
  <c r="U6" i="5" s="1"/>
  <c r="L9" i="5"/>
  <c r="M9" i="5" s="1"/>
  <c r="P9" i="5" s="1"/>
  <c r="S24" i="5"/>
  <c r="T24" i="5" s="1"/>
  <c r="U24" i="5" s="1"/>
  <c r="AM31" i="5"/>
  <c r="S25" i="5"/>
  <c r="T25" i="5" s="1"/>
  <c r="U25" i="5" s="1"/>
  <c r="L22" i="5"/>
  <c r="M22" i="5" s="1"/>
  <c r="P22" i="5" s="1"/>
  <c r="AM20" i="5"/>
  <c r="AM13" i="5"/>
  <c r="N7" i="5"/>
  <c r="AL15" i="5"/>
  <c r="AM15" i="5" s="1"/>
  <c r="AC19" i="5"/>
  <c r="AL5" i="5"/>
  <c r="AM5" i="5" s="1"/>
  <c r="S5" i="5"/>
  <c r="T5" i="5" s="1"/>
  <c r="U5" i="5" s="1"/>
  <c r="X23" i="5"/>
  <c r="W23" i="5"/>
  <c r="Y23" i="5" s="1"/>
  <c r="W13" i="5"/>
  <c r="X13" i="5"/>
  <c r="Y13" i="5"/>
  <c r="V10" i="5"/>
  <c r="O24" i="5"/>
  <c r="O25" i="5"/>
  <c r="P15" i="5"/>
  <c r="V25" i="5"/>
  <c r="O23" i="5"/>
  <c r="O22" i="5"/>
  <c r="V6" i="5"/>
  <c r="O14" i="5"/>
  <c r="O18" i="5"/>
  <c r="V17" i="5"/>
  <c r="P28" i="5"/>
  <c r="P26" i="5"/>
  <c r="V28" i="5"/>
  <c r="V30" i="5"/>
  <c r="O27" i="5"/>
  <c r="O29" i="5"/>
  <c r="V5" i="5"/>
  <c r="O15" i="5"/>
  <c r="O28" i="5"/>
  <c r="O30" i="5"/>
  <c r="P21" i="5"/>
  <c r="AC21" i="5" s="1"/>
  <c r="V29" i="5"/>
  <c r="O11" i="5"/>
  <c r="O12" i="5"/>
  <c r="V19" i="5"/>
  <c r="V12" i="5"/>
  <c r="P27" i="5"/>
  <c r="P29" i="5"/>
  <c r="V22" i="5"/>
  <c r="V24" i="5"/>
  <c r="O26" i="5"/>
  <c r="O16" i="5"/>
  <c r="V21" i="5"/>
  <c r="V20" i="5"/>
  <c r="V11" i="5"/>
  <c r="P17" i="5"/>
  <c r="V8" i="5"/>
  <c r="V14" i="5"/>
  <c r="P31" i="5"/>
  <c r="AC31" i="5" s="1"/>
  <c r="O9" i="5"/>
  <c r="V15" i="5"/>
  <c r="O6" i="5"/>
  <c r="O13" i="5"/>
  <c r="O8" i="5"/>
  <c r="V26" i="5"/>
  <c r="V7" i="5"/>
  <c r="V16" i="5"/>
  <c r="P30" i="5"/>
  <c r="V31" i="5"/>
  <c r="V18" i="5"/>
  <c r="O5" i="5"/>
  <c r="AC7" i="5"/>
  <c r="W27" i="5"/>
  <c r="X27" i="5"/>
  <c r="W9" i="5"/>
  <c r="X9" i="5"/>
  <c r="R8" i="4"/>
  <c r="S8" i="4"/>
  <c r="L25" i="4"/>
  <c r="P25" i="4" s="1"/>
  <c r="AA25" i="4" s="1"/>
  <c r="L10" i="4"/>
  <c r="P10" i="4" s="1"/>
  <c r="AA10" i="4" s="1"/>
  <c r="L14" i="4"/>
  <c r="P14" i="4" s="1"/>
  <c r="AA14" i="4" s="1"/>
  <c r="AB14" i="4" s="1"/>
  <c r="AD14" i="4" s="1"/>
  <c r="Q25" i="4"/>
  <c r="R25" i="4" s="1"/>
  <c r="V28" i="4"/>
  <c r="V26" i="4"/>
  <c r="V23" i="4"/>
  <c r="V22" i="4"/>
  <c r="V15" i="4"/>
  <c r="V5" i="4"/>
  <c r="V31" i="4"/>
  <c r="V18" i="4"/>
  <c r="V14" i="4"/>
  <c r="L20" i="4"/>
  <c r="P20" i="4" s="1"/>
  <c r="AA20" i="4" s="1"/>
  <c r="AB20" i="4" s="1"/>
  <c r="AD20" i="4" s="1"/>
  <c r="V29" i="4"/>
  <c r="V17" i="4"/>
  <c r="V8" i="4"/>
  <c r="V16" i="4"/>
  <c r="V27" i="4"/>
  <c r="V20" i="4"/>
  <c r="V13" i="4"/>
  <c r="V25" i="4"/>
  <c r="V11" i="4"/>
  <c r="V12" i="4"/>
  <c r="V10" i="4"/>
  <c r="V24" i="4"/>
  <c r="V6" i="4"/>
  <c r="V9" i="4"/>
  <c r="V7" i="4"/>
  <c r="V21" i="4"/>
  <c r="V30" i="4"/>
  <c r="V19" i="4"/>
  <c r="L17" i="4"/>
  <c r="P17" i="4" s="1"/>
  <c r="AA17" i="4" s="1"/>
  <c r="Q28" i="4"/>
  <c r="R28" i="4" s="1"/>
  <c r="Q31" i="4"/>
  <c r="R31" i="4" s="1"/>
  <c r="T8" i="4"/>
  <c r="U8" i="4" s="1"/>
  <c r="L15" i="4"/>
  <c r="P15" i="4" s="1"/>
  <c r="AA15" i="4" s="1"/>
  <c r="AB15" i="4" s="1"/>
  <c r="AD15" i="4" s="1"/>
  <c r="L29" i="4"/>
  <c r="P29" i="4" s="1"/>
  <c r="AA29" i="4" s="1"/>
  <c r="L24" i="4"/>
  <c r="P24" i="4" s="1"/>
  <c r="L12" i="4"/>
  <c r="P12" i="4" s="1"/>
  <c r="AA12" i="4" s="1"/>
  <c r="AB12" i="4" s="1"/>
  <c r="AD12" i="4" s="1"/>
  <c r="L9" i="4"/>
  <c r="P9" i="4" s="1"/>
  <c r="AA9" i="4" s="1"/>
  <c r="AB9" i="4" s="1"/>
  <c r="AD9" i="4" s="1"/>
  <c r="L28" i="4"/>
  <c r="P28" i="4" s="1"/>
  <c r="AA28" i="4" s="1"/>
  <c r="AB28" i="4" s="1"/>
  <c r="AD28" i="4" s="1"/>
  <c r="L31" i="4"/>
  <c r="P31" i="4" s="1"/>
  <c r="AA31" i="4" s="1"/>
  <c r="L21" i="4"/>
  <c r="P21" i="4" s="1"/>
  <c r="L18" i="4"/>
  <c r="P18" i="4" s="1"/>
  <c r="AA18" i="4" s="1"/>
  <c r="AB18" i="4" s="1"/>
  <c r="AD18" i="4" s="1"/>
  <c r="Q17" i="4"/>
  <c r="R17" i="4" s="1"/>
  <c r="L7" i="4"/>
  <c r="P7" i="4" s="1"/>
  <c r="AA7" i="4" s="1"/>
  <c r="L27" i="4"/>
  <c r="P27" i="4" s="1"/>
  <c r="AA27" i="4" s="1"/>
  <c r="Q9" i="4"/>
  <c r="Q13" i="4"/>
  <c r="R13" i="4" s="1"/>
  <c r="L13" i="4"/>
  <c r="P13" i="4" s="1"/>
  <c r="Q20" i="4"/>
  <c r="R20" i="4" s="1"/>
  <c r="L30" i="4"/>
  <c r="P30" i="4" s="1"/>
  <c r="AA30" i="4" s="1"/>
  <c r="AB30" i="4" s="1"/>
  <c r="AD30" i="4" s="1"/>
  <c r="Q10" i="4"/>
  <c r="Q7" i="4"/>
  <c r="R7" i="4" s="1"/>
  <c r="Q14" i="4"/>
  <c r="R14" i="4" s="1"/>
  <c r="S11" i="4"/>
  <c r="T11" i="4" s="1"/>
  <c r="U11" i="4" s="1"/>
  <c r="S27" i="4"/>
  <c r="T27" i="4" s="1"/>
  <c r="U27" i="4" s="1"/>
  <c r="L11" i="4"/>
  <c r="P11" i="4" s="1"/>
  <c r="L8" i="4"/>
  <c r="P8" i="4" s="1"/>
  <c r="AA8" i="4" s="1"/>
  <c r="K22" i="4"/>
  <c r="R24" i="4"/>
  <c r="S24" i="4"/>
  <c r="S26" i="4"/>
  <c r="T26" i="4" s="1"/>
  <c r="U26" i="4" s="1"/>
  <c r="L26" i="4"/>
  <c r="P26" i="4" s="1"/>
  <c r="Q29" i="4"/>
  <c r="R29" i="4" s="1"/>
  <c r="Q15" i="4"/>
  <c r="R15" i="4" s="1"/>
  <c r="Q30" i="4"/>
  <c r="R30" i="4" s="1"/>
  <c r="S20" i="4"/>
  <c r="T20" i="4" s="1"/>
  <c r="U20" i="4" s="1"/>
  <c r="Q12" i="4"/>
  <c r="K6" i="4"/>
  <c r="K16" i="4"/>
  <c r="Q18" i="4"/>
  <c r="R18" i="4" s="1"/>
  <c r="L19" i="4"/>
  <c r="P19" i="4" s="1"/>
  <c r="Q19" i="4"/>
  <c r="Q21" i="4"/>
  <c r="R21" i="4" s="1"/>
  <c r="Q23" i="4"/>
  <c r="R23" i="4" s="1"/>
  <c r="L23" i="4"/>
  <c r="P23" i="4" s="1"/>
  <c r="Q5" i="4"/>
  <c r="R5" i="4" s="1"/>
  <c r="L5" i="4"/>
  <c r="P5" i="4" s="1"/>
  <c r="AA5" i="4" s="1"/>
  <c r="AB5" i="4" s="1"/>
  <c r="AD5" i="4" s="1"/>
  <c r="AB8" i="4"/>
  <c r="AD8" i="4" s="1"/>
  <c r="AB25" i="4"/>
  <c r="AD25" i="4" s="1"/>
  <c r="AB17" i="4"/>
  <c r="AD17" i="4" s="1"/>
  <c r="AC10" i="5" l="1"/>
  <c r="N24" i="5"/>
  <c r="T9" i="5"/>
  <c r="T22" i="5"/>
  <c r="U22" i="5" s="1"/>
  <c r="L12" i="5"/>
  <c r="M12" i="5" s="1"/>
  <c r="P12" i="5" s="1"/>
  <c r="T10" i="5"/>
  <c r="U10" i="5" s="1"/>
  <c r="T30" i="5"/>
  <c r="U30" i="5" s="1"/>
  <c r="N14" i="5"/>
  <c r="L14" i="5"/>
  <c r="M14" i="5" s="1"/>
  <c r="P14" i="5" s="1"/>
  <c r="AN17" i="5"/>
  <c r="L16" i="5"/>
  <c r="M16" i="5" s="1"/>
  <c r="P16" i="5" s="1"/>
  <c r="N16" i="5"/>
  <c r="AI15" i="5"/>
  <c r="AN15" i="5" s="1"/>
  <c r="T18" i="5"/>
  <c r="U18" i="5" s="1"/>
  <c r="AM6" i="5"/>
  <c r="AM9" i="5"/>
  <c r="AC5" i="5"/>
  <c r="W11" i="5"/>
  <c r="X11" i="5"/>
  <c r="Y11" i="5" s="1"/>
  <c r="AD11" i="5" s="1"/>
  <c r="Y27" i="5"/>
  <c r="AD27" i="5" s="1"/>
  <c r="W18" i="5"/>
  <c r="X18" i="5"/>
  <c r="Y18" i="5"/>
  <c r="W7" i="5"/>
  <c r="X7" i="5"/>
  <c r="AC6" i="5"/>
  <c r="X20" i="5"/>
  <c r="W20" i="5"/>
  <c r="Y20" i="5" s="1"/>
  <c r="AD20" i="5" s="1"/>
  <c r="AO20" i="5" s="1"/>
  <c r="W24" i="5"/>
  <c r="X24" i="5"/>
  <c r="Y24" i="5" s="1"/>
  <c r="AD24" i="5" s="1"/>
  <c r="AC30" i="5"/>
  <c r="W28" i="5"/>
  <c r="X28" i="5"/>
  <c r="X17" i="5"/>
  <c r="W17" i="5"/>
  <c r="Y17" i="5" s="1"/>
  <c r="AD17" i="5" s="1"/>
  <c r="AC22" i="5"/>
  <c r="AC25" i="5"/>
  <c r="W16" i="5"/>
  <c r="X16" i="5"/>
  <c r="X8" i="5"/>
  <c r="W8" i="5"/>
  <c r="Y8" i="5" s="1"/>
  <c r="AD8" i="5" s="1"/>
  <c r="X5" i="5"/>
  <c r="W5" i="5"/>
  <c r="Y5" i="5"/>
  <c r="AD5" i="5" s="1"/>
  <c r="W6" i="5"/>
  <c r="X6" i="5"/>
  <c r="W31" i="5"/>
  <c r="X31" i="5"/>
  <c r="Y31" i="5" s="1"/>
  <c r="AD31" i="5" s="1"/>
  <c r="AO31" i="5" s="1"/>
  <c r="W26" i="5"/>
  <c r="X26" i="5"/>
  <c r="X15" i="5"/>
  <c r="W15" i="5"/>
  <c r="Y15" i="5" s="1"/>
  <c r="AD15" i="5" s="1"/>
  <c r="W21" i="5"/>
  <c r="X21" i="5"/>
  <c r="W22" i="5"/>
  <c r="X22" i="5"/>
  <c r="AC11" i="5"/>
  <c r="AC28" i="5"/>
  <c r="AC29" i="5"/>
  <c r="AC18" i="5"/>
  <c r="AD18" i="5"/>
  <c r="AD23" i="5"/>
  <c r="AC23" i="5"/>
  <c r="AC24" i="5"/>
  <c r="AC13" i="5"/>
  <c r="AD13" i="5"/>
  <c r="AC26" i="5"/>
  <c r="W19" i="5"/>
  <c r="X19" i="5"/>
  <c r="W30" i="5"/>
  <c r="X30" i="5"/>
  <c r="Y30" i="5"/>
  <c r="AD30" i="5" s="1"/>
  <c r="AC8" i="5"/>
  <c r="AC9" i="5"/>
  <c r="W14" i="5"/>
  <c r="X14" i="5"/>
  <c r="Y14" i="5"/>
  <c r="AC16" i="5"/>
  <c r="X12" i="5"/>
  <c r="W12" i="5"/>
  <c r="Y12" i="5"/>
  <c r="X29" i="5"/>
  <c r="W29" i="5"/>
  <c r="Y29" i="5" s="1"/>
  <c r="AD29" i="5" s="1"/>
  <c r="AC15" i="5"/>
  <c r="AC27" i="5"/>
  <c r="X25" i="5"/>
  <c r="W25" i="5"/>
  <c r="Y25" i="5"/>
  <c r="AD25" i="5" s="1"/>
  <c r="X10" i="5"/>
  <c r="W10" i="5"/>
  <c r="Y10" i="5" s="1"/>
  <c r="AD10" i="5" s="1"/>
  <c r="AO10" i="5" s="1"/>
  <c r="AC17" i="5"/>
  <c r="AB29" i="4"/>
  <c r="AD29" i="4" s="1"/>
  <c r="AB10" i="4"/>
  <c r="AD10" i="4" s="1"/>
  <c r="S5" i="4"/>
  <c r="T5" i="4" s="1"/>
  <c r="U5" i="4" s="1"/>
  <c r="S17" i="4"/>
  <c r="T17" i="4" s="1"/>
  <c r="U17" i="4" s="1"/>
  <c r="S31" i="4"/>
  <c r="T31" i="4" s="1"/>
  <c r="U31" i="4" s="1"/>
  <c r="S28" i="4"/>
  <c r="T28" i="4" s="1"/>
  <c r="U28" i="4" s="1"/>
  <c r="X6" i="4"/>
  <c r="W6" i="4"/>
  <c r="W11" i="4"/>
  <c r="X11" i="4"/>
  <c r="W29" i="4"/>
  <c r="X29" i="4"/>
  <c r="X31" i="4"/>
  <c r="W31" i="4"/>
  <c r="W23" i="4"/>
  <c r="X23" i="4"/>
  <c r="W21" i="4"/>
  <c r="X21" i="4"/>
  <c r="W24" i="4"/>
  <c r="X24" i="4"/>
  <c r="X25" i="4"/>
  <c r="W25" i="4"/>
  <c r="X16" i="4"/>
  <c r="W16" i="4"/>
  <c r="W5" i="4"/>
  <c r="X5" i="4"/>
  <c r="X26" i="4"/>
  <c r="W26" i="4"/>
  <c r="AA21" i="4"/>
  <c r="AB21" i="4" s="1"/>
  <c r="AD21" i="4" s="1"/>
  <c r="W30" i="4"/>
  <c r="X30" i="4"/>
  <c r="W27" i="4"/>
  <c r="X27" i="4"/>
  <c r="AB7" i="4"/>
  <c r="AD7" i="4" s="1"/>
  <c r="S21" i="4"/>
  <c r="T21" i="4" s="1"/>
  <c r="U21" i="4" s="1"/>
  <c r="Y26" i="4"/>
  <c r="Z26" i="4" s="1"/>
  <c r="Y11" i="4"/>
  <c r="Z11" i="4" s="1"/>
  <c r="AA24" i="4"/>
  <c r="AB24" i="4" s="1"/>
  <c r="AD24" i="4" s="1"/>
  <c r="W7" i="4"/>
  <c r="X7" i="4"/>
  <c r="X10" i="4"/>
  <c r="W10" i="4"/>
  <c r="X13" i="4"/>
  <c r="W13" i="4"/>
  <c r="W8" i="4"/>
  <c r="X8" i="4"/>
  <c r="X14" i="4"/>
  <c r="W14" i="4"/>
  <c r="W15" i="4"/>
  <c r="X15" i="4"/>
  <c r="W28" i="4"/>
  <c r="X28" i="4"/>
  <c r="S23" i="4"/>
  <c r="T23" i="4" s="1"/>
  <c r="S29" i="4"/>
  <c r="T29" i="4" s="1"/>
  <c r="U29" i="4" s="1"/>
  <c r="X19" i="4"/>
  <c r="W19" i="4"/>
  <c r="W9" i="4"/>
  <c r="X9" i="4"/>
  <c r="W12" i="4"/>
  <c r="X12" i="4"/>
  <c r="X20" i="4"/>
  <c r="W20" i="4"/>
  <c r="X17" i="4"/>
  <c r="W17" i="4"/>
  <c r="Y17" i="4" s="1"/>
  <c r="Z17" i="4" s="1"/>
  <c r="AC17" i="4" s="1"/>
  <c r="AE17" i="4" s="1"/>
  <c r="X18" i="4"/>
  <c r="W18" i="4"/>
  <c r="W22" i="4"/>
  <c r="X22" i="4"/>
  <c r="S25" i="4"/>
  <c r="T25" i="4" s="1"/>
  <c r="U25" i="4" s="1"/>
  <c r="Y25" i="4" s="1"/>
  <c r="Z25" i="4" s="1"/>
  <c r="AC25" i="4" s="1"/>
  <c r="AE25" i="4" s="1"/>
  <c r="AH25" i="4" s="1"/>
  <c r="S12" i="4"/>
  <c r="R12" i="4"/>
  <c r="AA26" i="4"/>
  <c r="AB26" i="4" s="1"/>
  <c r="AD26" i="4" s="1"/>
  <c r="S15" i="4"/>
  <c r="S30" i="4"/>
  <c r="R9" i="4"/>
  <c r="S9" i="4"/>
  <c r="S7" i="4"/>
  <c r="S13" i="4"/>
  <c r="S14" i="4"/>
  <c r="AB27" i="4"/>
  <c r="AD27" i="4" s="1"/>
  <c r="S19" i="4"/>
  <c r="R19" i="4"/>
  <c r="L16" i="4"/>
  <c r="P16" i="4" s="1"/>
  <c r="Q16" i="4"/>
  <c r="R16" i="4" s="1"/>
  <c r="R10" i="4"/>
  <c r="S10" i="4"/>
  <c r="S18" i="4"/>
  <c r="T24" i="4"/>
  <c r="U24" i="4" s="1"/>
  <c r="AA23" i="4"/>
  <c r="AB23" i="4" s="1"/>
  <c r="AD23" i="4" s="1"/>
  <c r="AA19" i="4"/>
  <c r="AB19" i="4" s="1"/>
  <c r="AD19" i="4" s="1"/>
  <c r="Q6" i="4"/>
  <c r="R6" i="4" s="1"/>
  <c r="L6" i="4"/>
  <c r="P6" i="4" s="1"/>
  <c r="L22" i="4"/>
  <c r="P22" i="4" s="1"/>
  <c r="Q22" i="4"/>
  <c r="R22" i="4" s="1"/>
  <c r="AA11" i="4"/>
  <c r="AB11" i="4" s="1"/>
  <c r="AD11" i="4" s="1"/>
  <c r="AA13" i="4"/>
  <c r="AB13" i="4" s="1"/>
  <c r="AD13" i="4" s="1"/>
  <c r="Y5" i="4"/>
  <c r="Z5" i="4" s="1"/>
  <c r="AC5" i="4" s="1"/>
  <c r="AE5" i="4" s="1"/>
  <c r="AH5" i="4" s="1"/>
  <c r="AB31" i="4"/>
  <c r="AD31" i="4" s="1"/>
  <c r="Y19" i="5" l="1"/>
  <c r="AD19" i="5" s="1"/>
  <c r="AO19" i="5" s="1"/>
  <c r="Y22" i="5"/>
  <c r="AD22" i="5" s="1"/>
  <c r="Y21" i="5"/>
  <c r="AD21" i="5" s="1"/>
  <c r="AO21" i="5" s="1"/>
  <c r="Y26" i="5"/>
  <c r="AD26" i="5" s="1"/>
  <c r="Y6" i="5"/>
  <c r="AD6" i="5" s="1"/>
  <c r="Y16" i="5"/>
  <c r="AD16" i="5" s="1"/>
  <c r="Y28" i="5"/>
  <c r="AD28" i="5" s="1"/>
  <c r="Y7" i="5"/>
  <c r="AD7" i="5" s="1"/>
  <c r="AO7" i="5" s="1"/>
  <c r="AC12" i="5"/>
  <c r="AC14" i="5"/>
  <c r="U9" i="5"/>
  <c r="Y9" i="5"/>
  <c r="AD9" i="5" s="1"/>
  <c r="AO9" i="5" s="1"/>
  <c r="AD12" i="5"/>
  <c r="AD14" i="5"/>
  <c r="AO27" i="5"/>
  <c r="AO13" i="5"/>
  <c r="AO24" i="5"/>
  <c r="AO18" i="5"/>
  <c r="AO17" i="5"/>
  <c r="AO28" i="5"/>
  <c r="AO6" i="5"/>
  <c r="AO23" i="5"/>
  <c r="AO15" i="5"/>
  <c r="AO16" i="5"/>
  <c r="AO22" i="5"/>
  <c r="AO30" i="5"/>
  <c r="AO14" i="5"/>
  <c r="AO8" i="5"/>
  <c r="AO26" i="5"/>
  <c r="AO29" i="5"/>
  <c r="AO11" i="5"/>
  <c r="AO25" i="5"/>
  <c r="AO12" i="5"/>
  <c r="AO5" i="5"/>
  <c r="Y29" i="4"/>
  <c r="Z29" i="4" s="1"/>
  <c r="AC29" i="4" s="1"/>
  <c r="AE29" i="4" s="1"/>
  <c r="Y20" i="4"/>
  <c r="Z20" i="4" s="1"/>
  <c r="AC20" i="4" s="1"/>
  <c r="AE20" i="4" s="1"/>
  <c r="AF20" i="4" s="1"/>
  <c r="M20" i="4" s="1"/>
  <c r="AG20" i="4" s="1"/>
  <c r="Y28" i="4"/>
  <c r="Z28" i="4" s="1"/>
  <c r="AC28" i="4" s="1"/>
  <c r="AE28" i="4" s="1"/>
  <c r="AF28" i="4" s="1"/>
  <c r="M28" i="4" s="1"/>
  <c r="AG28" i="4" s="1"/>
  <c r="AC11" i="4"/>
  <c r="Y27" i="4"/>
  <c r="Z27" i="4" s="1"/>
  <c r="AC27" i="4" s="1"/>
  <c r="AE27" i="4" s="1"/>
  <c r="Y21" i="4"/>
  <c r="Z21" i="4" s="1"/>
  <c r="AC21" i="4" s="1"/>
  <c r="AE21" i="4" s="1"/>
  <c r="AF21" i="4" s="1"/>
  <c r="M21" i="4" s="1"/>
  <c r="AG21" i="4" s="1"/>
  <c r="U23" i="4"/>
  <c r="Y23" i="4" s="1"/>
  <c r="Z23" i="4" s="1"/>
  <c r="AC23" i="4" s="1"/>
  <c r="AE23" i="4" s="1"/>
  <c r="AE11" i="4"/>
  <c r="AH11" i="4" s="1"/>
  <c r="Y8" i="4"/>
  <c r="Z8" i="4" s="1"/>
  <c r="AC8" i="4" s="1"/>
  <c r="AE8" i="4" s="1"/>
  <c r="AC26" i="4"/>
  <c r="AE26" i="4" s="1"/>
  <c r="Y31" i="4"/>
  <c r="Z31" i="4" s="1"/>
  <c r="AC31" i="4" s="1"/>
  <c r="AE31" i="4" s="1"/>
  <c r="AF31" i="4" s="1"/>
  <c r="M31" i="4" s="1"/>
  <c r="AG31" i="4" s="1"/>
  <c r="AF5" i="4"/>
  <c r="M5" i="4" s="1"/>
  <c r="AG5" i="4" s="1"/>
  <c r="AH20" i="4"/>
  <c r="AI20" i="4" s="1"/>
  <c r="T30" i="4"/>
  <c r="U30" i="4" s="1"/>
  <c r="AF25" i="4"/>
  <c r="M25" i="4" s="1"/>
  <c r="AG25" i="4" s="1"/>
  <c r="AL25" i="4" s="1"/>
  <c r="AM25" i="4" s="1"/>
  <c r="AN25" i="4" s="1"/>
  <c r="AA6" i="4"/>
  <c r="AB6" i="4"/>
  <c r="AD6" i="4" s="1"/>
  <c r="T10" i="4"/>
  <c r="U10" i="4" s="1"/>
  <c r="AA16" i="4"/>
  <c r="AB16" i="4" s="1"/>
  <c r="AD16" i="4" s="1"/>
  <c r="T19" i="4"/>
  <c r="U19" i="4" s="1"/>
  <c r="T14" i="4"/>
  <c r="U14" i="4" s="1"/>
  <c r="T9" i="4"/>
  <c r="U9" i="4" s="1"/>
  <c r="T15" i="4"/>
  <c r="U15" i="4" s="1"/>
  <c r="AA22" i="4"/>
  <c r="AB22" i="4" s="1"/>
  <c r="AD22" i="4" s="1"/>
  <c r="Y24" i="4"/>
  <c r="Z24" i="4" s="1"/>
  <c r="AC24" i="4" s="1"/>
  <c r="AE24" i="4" s="1"/>
  <c r="AH21" i="4"/>
  <c r="T13" i="4"/>
  <c r="U13" i="4" s="1"/>
  <c r="T12" i="4"/>
  <c r="U12" i="4" s="1"/>
  <c r="Y12" i="4"/>
  <c r="Z12" i="4" s="1"/>
  <c r="AC12" i="4" s="1"/>
  <c r="AE12" i="4" s="1"/>
  <c r="T18" i="4"/>
  <c r="U18" i="4" s="1"/>
  <c r="T7" i="4"/>
  <c r="U7" i="4" s="1"/>
  <c r="S22" i="4"/>
  <c r="S6" i="4"/>
  <c r="S16" i="4"/>
  <c r="AF8" i="4"/>
  <c r="M8" i="4" s="1"/>
  <c r="AG8" i="4" s="1"/>
  <c r="AH8" i="4"/>
  <c r="AH17" i="4"/>
  <c r="AF17" i="4"/>
  <c r="M17" i="4" s="1"/>
  <c r="AG17" i="4" s="1"/>
  <c r="AI25" i="4"/>
  <c r="AL5" i="4"/>
  <c r="I5" i="4"/>
  <c r="H5" i="4" s="1"/>
  <c r="G5" i="4" s="1"/>
  <c r="AQ5" i="4" s="1"/>
  <c r="J5" i="4"/>
  <c r="AI5" i="4"/>
  <c r="AJ5" i="4" s="1"/>
  <c r="AK5" i="4" s="1"/>
  <c r="I20" i="4" l="1"/>
  <c r="H20" i="4" s="1"/>
  <c r="G20" i="4" s="1"/>
  <c r="AQ20" i="4" s="1"/>
  <c r="J20" i="4"/>
  <c r="AL20" i="4"/>
  <c r="AF29" i="4"/>
  <c r="M29" i="4" s="1"/>
  <c r="AG29" i="4" s="1"/>
  <c r="AL29" i="4" s="1"/>
  <c r="AH29" i="4"/>
  <c r="AH28" i="4"/>
  <c r="AI28" i="4" s="1"/>
  <c r="AJ28" i="4" s="1"/>
  <c r="Y13" i="4"/>
  <c r="Z13" i="4" s="1"/>
  <c r="AC13" i="4" s="1"/>
  <c r="AE13" i="4" s="1"/>
  <c r="Y10" i="4"/>
  <c r="Z10" i="4" s="1"/>
  <c r="AC10" i="4" s="1"/>
  <c r="AE10" i="4" s="1"/>
  <c r="Y19" i="4"/>
  <c r="Z19" i="4" s="1"/>
  <c r="AC19" i="4" s="1"/>
  <c r="AE19" i="4" s="1"/>
  <c r="Y30" i="4"/>
  <c r="Z30" i="4" s="1"/>
  <c r="AC30" i="4" s="1"/>
  <c r="AE30" i="4" s="1"/>
  <c r="AF30" i="4" s="1"/>
  <c r="M30" i="4" s="1"/>
  <c r="AG30" i="4" s="1"/>
  <c r="J25" i="4"/>
  <c r="AF11" i="4"/>
  <c r="M11" i="4" s="1"/>
  <c r="AG11" i="4" s="1"/>
  <c r="J11" i="4" s="1"/>
  <c r="AH23" i="4"/>
  <c r="AF23" i="4"/>
  <c r="M23" i="4" s="1"/>
  <c r="AG23" i="4" s="1"/>
  <c r="I23" i="4" s="1"/>
  <c r="H23" i="4" s="1"/>
  <c r="G23" i="4" s="1"/>
  <c r="AQ23" i="4" s="1"/>
  <c r="AF26" i="4"/>
  <c r="M26" i="4" s="1"/>
  <c r="AG26" i="4" s="1"/>
  <c r="AL26" i="4" s="1"/>
  <c r="AM26" i="4" s="1"/>
  <c r="AH26" i="4"/>
  <c r="AI26" i="4" s="1"/>
  <c r="I25" i="4"/>
  <c r="H25" i="4" s="1"/>
  <c r="G25" i="4" s="1"/>
  <c r="AQ25" i="4" s="1"/>
  <c r="AH31" i="4"/>
  <c r="AI31" i="4" s="1"/>
  <c r="Y18" i="4"/>
  <c r="Z18" i="4" s="1"/>
  <c r="AC18" i="4" s="1"/>
  <c r="AE18" i="4" s="1"/>
  <c r="AF18" i="4" s="1"/>
  <c r="M18" i="4" s="1"/>
  <c r="AG18" i="4" s="1"/>
  <c r="AJ20" i="4"/>
  <c r="AK20" i="4" s="1"/>
  <c r="Y7" i="4"/>
  <c r="Z7" i="4" s="1"/>
  <c r="AC7" i="4" s="1"/>
  <c r="AE7" i="4" s="1"/>
  <c r="AH7" i="4" s="1"/>
  <c r="AI7" i="4" s="1"/>
  <c r="AJ7" i="4" s="1"/>
  <c r="AK7" i="4" s="1"/>
  <c r="AP7" i="4" s="1"/>
  <c r="Y9" i="4"/>
  <c r="Z9" i="4" s="1"/>
  <c r="AC9" i="4" s="1"/>
  <c r="AE9" i="4" s="1"/>
  <c r="AF9" i="4" s="1"/>
  <c r="M9" i="4" s="1"/>
  <c r="AG9" i="4" s="1"/>
  <c r="AF13" i="4"/>
  <c r="M13" i="4" s="1"/>
  <c r="AG13" i="4" s="1"/>
  <c r="AH13" i="4"/>
  <c r="AF12" i="4"/>
  <c r="M12" i="4" s="1"/>
  <c r="AG12" i="4" s="1"/>
  <c r="AH12" i="4"/>
  <c r="T22" i="4"/>
  <c r="U22" i="4" s="1"/>
  <c r="I21" i="4"/>
  <c r="H21" i="4" s="1"/>
  <c r="G21" i="4" s="1"/>
  <c r="AQ21" i="4" s="1"/>
  <c r="J21" i="4"/>
  <c r="AL21" i="4"/>
  <c r="AH27" i="4"/>
  <c r="AF27" i="4"/>
  <c r="M27" i="4" s="1"/>
  <c r="AG27" i="4" s="1"/>
  <c r="AF7" i="4"/>
  <c r="M7" i="4" s="1"/>
  <c r="AG7" i="4" s="1"/>
  <c r="AH19" i="4"/>
  <c r="AF19" i="4"/>
  <c r="M19" i="4" s="1"/>
  <c r="AG19" i="4" s="1"/>
  <c r="AH24" i="4"/>
  <c r="AF24" i="4"/>
  <c r="M24" i="4" s="1"/>
  <c r="AG24" i="4" s="1"/>
  <c r="J28" i="4"/>
  <c r="I28" i="4" s="1"/>
  <c r="H28" i="4" s="1"/>
  <c r="G28" i="4" s="1"/>
  <c r="AQ28" i="4" s="1"/>
  <c r="AL28" i="4"/>
  <c r="AM28" i="4" s="1"/>
  <c r="AI11" i="4"/>
  <c r="AJ11" i="4" s="1"/>
  <c r="I26" i="4"/>
  <c r="H26" i="4" s="1"/>
  <c r="G26" i="4" s="1"/>
  <c r="AQ26" i="4" s="1"/>
  <c r="T6" i="4"/>
  <c r="U6" i="4" s="1"/>
  <c r="AI21" i="4"/>
  <c r="AJ21" i="4" s="1"/>
  <c r="AM20" i="4"/>
  <c r="AN20" i="4" s="1"/>
  <c r="AO20" i="4" s="1"/>
  <c r="T16" i="4"/>
  <c r="U16" i="4" s="1"/>
  <c r="Y15" i="4"/>
  <c r="Z15" i="4" s="1"/>
  <c r="AC15" i="4" s="1"/>
  <c r="AE15" i="4" s="1"/>
  <c r="Y14" i="4"/>
  <c r="Z14" i="4" s="1"/>
  <c r="AC14" i="4" s="1"/>
  <c r="AE14" i="4" s="1"/>
  <c r="AI23" i="4"/>
  <c r="AJ23" i="4" s="1"/>
  <c r="AK23" i="4" s="1"/>
  <c r="AP23" i="4" s="1"/>
  <c r="AI8" i="4"/>
  <c r="AJ8" i="4" s="1"/>
  <c r="AJ25" i="4"/>
  <c r="AK25" i="4" s="1"/>
  <c r="AP25" i="4" s="1"/>
  <c r="AI17" i="4"/>
  <c r="AO25" i="4"/>
  <c r="AL31" i="4"/>
  <c r="AM31" i="4" s="1"/>
  <c r="AN31" i="4" s="1"/>
  <c r="J31" i="4"/>
  <c r="I31" i="4" s="1"/>
  <c r="H31" i="4" s="1"/>
  <c r="G31" i="4" s="1"/>
  <c r="AQ31" i="4" s="1"/>
  <c r="AL17" i="4"/>
  <c r="AM17" i="4" s="1"/>
  <c r="I17" i="4"/>
  <c r="H17" i="4" s="1"/>
  <c r="G17" i="4" s="1"/>
  <c r="AQ17" i="4" s="1"/>
  <c r="J17" i="4"/>
  <c r="I8" i="4"/>
  <c r="H8" i="4" s="1"/>
  <c r="G8" i="4" s="1"/>
  <c r="AQ8" i="4" s="1"/>
  <c r="J8" i="4"/>
  <c r="AL8" i="4"/>
  <c r="AM8" i="4" s="1"/>
  <c r="AN8" i="4" s="1"/>
  <c r="AI29" i="4"/>
  <c r="AJ29" i="4" s="1"/>
  <c r="AP5" i="4"/>
  <c r="AM5" i="4"/>
  <c r="AN5" i="4" s="1"/>
  <c r="AH30" i="4" l="1"/>
  <c r="J29" i="4"/>
  <c r="I29" i="4" s="1"/>
  <c r="H29" i="4" s="1"/>
  <c r="G29" i="4" s="1"/>
  <c r="AQ29" i="4" s="1"/>
  <c r="AL11" i="4"/>
  <c r="Y16" i="4"/>
  <c r="Z16" i="4" s="1"/>
  <c r="AC16" i="4" s="1"/>
  <c r="AE16" i="4" s="1"/>
  <c r="AH16" i="4" s="1"/>
  <c r="J26" i="4"/>
  <c r="AH18" i="4"/>
  <c r="AH9" i="4"/>
  <c r="AI9" i="4" s="1"/>
  <c r="AF10" i="4"/>
  <c r="M10" i="4" s="1"/>
  <c r="AG10" i="4" s="1"/>
  <c r="AH10" i="4"/>
  <c r="AI10" i="4" s="1"/>
  <c r="AM11" i="4"/>
  <c r="I11" i="4"/>
  <c r="H11" i="4" s="1"/>
  <c r="G11" i="4" s="1"/>
  <c r="AQ11" i="4" s="1"/>
  <c r="J23" i="4"/>
  <c r="Y6" i="4"/>
  <c r="Z6" i="4" s="1"/>
  <c r="AC6" i="4" s="1"/>
  <c r="AE6" i="4" s="1"/>
  <c r="AF6" i="4" s="1"/>
  <c r="M6" i="4" s="1"/>
  <c r="AG6" i="4" s="1"/>
  <c r="AL23" i="4"/>
  <c r="AM23" i="4" s="1"/>
  <c r="AN23" i="4" s="1"/>
  <c r="Y22" i="4"/>
  <c r="Z22" i="4" s="1"/>
  <c r="AC22" i="4" s="1"/>
  <c r="AE22" i="4" s="1"/>
  <c r="AF22" i="4" s="1"/>
  <c r="M22" i="4" s="1"/>
  <c r="AG22" i="4" s="1"/>
  <c r="AJ26" i="4"/>
  <c r="AK26" i="4" s="1"/>
  <c r="AP26" i="4" s="1"/>
  <c r="AP20" i="4"/>
  <c r="AN11" i="4"/>
  <c r="AK11" i="4"/>
  <c r="AP11" i="4" s="1"/>
  <c r="AN28" i="4"/>
  <c r="AO28" i="4" s="1"/>
  <c r="AK28" i="4"/>
  <c r="AP28" i="4" s="1"/>
  <c r="AI27" i="4"/>
  <c r="AK21" i="4"/>
  <c r="AP21" i="4" s="1"/>
  <c r="AL24" i="4"/>
  <c r="AM24" i="4" s="1"/>
  <c r="AN24" i="4" s="1"/>
  <c r="J24" i="4"/>
  <c r="I24" i="4"/>
  <c r="H24" i="4" s="1"/>
  <c r="G24" i="4" s="1"/>
  <c r="AQ24" i="4" s="1"/>
  <c r="J30" i="4"/>
  <c r="I30" i="4"/>
  <c r="H30" i="4" s="1"/>
  <c r="G30" i="4" s="1"/>
  <c r="AQ30" i="4" s="1"/>
  <c r="AL30" i="4"/>
  <c r="AF15" i="4"/>
  <c r="M15" i="4" s="1"/>
  <c r="AG15" i="4" s="1"/>
  <c r="AH15" i="4"/>
  <c r="AF16" i="4"/>
  <c r="M16" i="4" s="1"/>
  <c r="AG16" i="4" s="1"/>
  <c r="AI19" i="4"/>
  <c r="AJ19" i="4" s="1"/>
  <c r="AK19" i="4" s="1"/>
  <c r="AP19" i="4" s="1"/>
  <c r="I18" i="4"/>
  <c r="H18" i="4" s="1"/>
  <c r="G18" i="4" s="1"/>
  <c r="AQ18" i="4" s="1"/>
  <c r="J18" i="4"/>
  <c r="AL18" i="4"/>
  <c r="AM18" i="4" s="1"/>
  <c r="AL12" i="4"/>
  <c r="AM12" i="4" s="1"/>
  <c r="AN12" i="4" s="1"/>
  <c r="J12" i="4"/>
  <c r="I12" i="4"/>
  <c r="H12" i="4" s="1"/>
  <c r="G12" i="4" s="1"/>
  <c r="AQ12" i="4" s="1"/>
  <c r="AK29" i="4"/>
  <c r="AI24" i="4"/>
  <c r="AJ24" i="4"/>
  <c r="AK24" i="4" s="1"/>
  <c r="AP24" i="4" s="1"/>
  <c r="AL7" i="4"/>
  <c r="AM7" i="4" s="1"/>
  <c r="I7" i="4"/>
  <c r="H7" i="4" s="1"/>
  <c r="G7" i="4" s="1"/>
  <c r="AQ7" i="4" s="1"/>
  <c r="J7" i="4"/>
  <c r="AI30" i="4"/>
  <c r="AJ30" i="4" s="1"/>
  <c r="AK30" i="4" s="1"/>
  <c r="AM21" i="4"/>
  <c r="AN21" i="4" s="1"/>
  <c r="AO21" i="4" s="1"/>
  <c r="AI13" i="4"/>
  <c r="AJ13" i="4" s="1"/>
  <c r="AO11" i="4"/>
  <c r="AF14" i="4"/>
  <c r="M14" i="4" s="1"/>
  <c r="AG14" i="4" s="1"/>
  <c r="AH14" i="4"/>
  <c r="AI14" i="4" s="1"/>
  <c r="AJ14" i="4" s="1"/>
  <c r="AK14" i="4" s="1"/>
  <c r="AP14" i="4" s="1"/>
  <c r="AN26" i="4"/>
  <c r="AO26" i="4" s="1"/>
  <c r="I19" i="4"/>
  <c r="H19" i="4" s="1"/>
  <c r="G19" i="4" s="1"/>
  <c r="AQ19" i="4" s="1"/>
  <c r="AL19" i="4"/>
  <c r="AM19" i="4" s="1"/>
  <c r="AN19" i="4" s="1"/>
  <c r="AO19" i="4" s="1"/>
  <c r="J19" i="4"/>
  <c r="J27" i="4"/>
  <c r="I27" i="4" s="1"/>
  <c r="H27" i="4" s="1"/>
  <c r="G27" i="4" s="1"/>
  <c r="AQ27" i="4" s="1"/>
  <c r="AL27" i="4"/>
  <c r="AM27" i="4" s="1"/>
  <c r="AI18" i="4"/>
  <c r="AJ18" i="4" s="1"/>
  <c r="J9" i="4"/>
  <c r="I9" i="4"/>
  <c r="H9" i="4" s="1"/>
  <c r="G9" i="4" s="1"/>
  <c r="AQ9" i="4" s="1"/>
  <c r="AL9" i="4"/>
  <c r="AM9" i="4" s="1"/>
  <c r="AO23" i="4"/>
  <c r="AI12" i="4"/>
  <c r="I13" i="4"/>
  <c r="H13" i="4" s="1"/>
  <c r="G13" i="4" s="1"/>
  <c r="AQ13" i="4" s="1"/>
  <c r="AL13" i="4"/>
  <c r="AM13" i="4" s="1"/>
  <c r="AN13" i="4" s="1"/>
  <c r="AO13" i="4" s="1"/>
  <c r="J13" i="4"/>
  <c r="AO8" i="4"/>
  <c r="AN17" i="4"/>
  <c r="AO17" i="4" s="1"/>
  <c r="AM29" i="4"/>
  <c r="AN29" i="4" s="1"/>
  <c r="AJ10" i="4"/>
  <c r="AK10" i="4" s="1"/>
  <c r="AJ17" i="4"/>
  <c r="AK17" i="4" s="1"/>
  <c r="AP29" i="4"/>
  <c r="AJ31" i="4"/>
  <c r="AO31" i="4"/>
  <c r="AK8" i="4"/>
  <c r="AP8" i="4" s="1"/>
  <c r="AO5" i="4"/>
  <c r="AL10" i="4" l="1"/>
  <c r="J10" i="4"/>
  <c r="I10" i="4"/>
  <c r="H10" i="4" s="1"/>
  <c r="G10" i="4" s="1"/>
  <c r="AQ10" i="4" s="1"/>
  <c r="AH22" i="4"/>
  <c r="AI22" i="4" s="1"/>
  <c r="AH6" i="4"/>
  <c r="J22" i="4"/>
  <c r="I22" i="4"/>
  <c r="H22" i="4" s="1"/>
  <c r="G22" i="4" s="1"/>
  <c r="AQ22" i="4" s="1"/>
  <c r="AL22" i="4"/>
  <c r="AM22" i="4" s="1"/>
  <c r="AN22" i="4" s="1"/>
  <c r="AJ12" i="4"/>
  <c r="AK12" i="4" s="1"/>
  <c r="AN9" i="4"/>
  <c r="AK18" i="4"/>
  <c r="AP18" i="4" s="1"/>
  <c r="J14" i="4"/>
  <c r="AL14" i="4"/>
  <c r="I14" i="4"/>
  <c r="H14" i="4" s="1"/>
  <c r="G14" i="4" s="1"/>
  <c r="AQ14" i="4" s="1"/>
  <c r="AP30" i="4"/>
  <c r="AN18" i="4"/>
  <c r="AO18" i="4" s="1"/>
  <c r="AI15" i="4"/>
  <c r="AJ15" i="4" s="1"/>
  <c r="AK15" i="4"/>
  <c r="AP15" i="4" s="1"/>
  <c r="I16" i="4"/>
  <c r="H16" i="4" s="1"/>
  <c r="G16" i="4" s="1"/>
  <c r="AQ16" i="4" s="1"/>
  <c r="J16" i="4"/>
  <c r="AL16" i="4"/>
  <c r="AM16" i="4" s="1"/>
  <c r="AN16" i="4" s="1"/>
  <c r="AO16" i="4" s="1"/>
  <c r="AN27" i="4"/>
  <c r="AO27" i="4" s="1"/>
  <c r="AN7" i="4"/>
  <c r="AO7" i="4" s="1"/>
  <c r="I15" i="4"/>
  <c r="H15" i="4" s="1"/>
  <c r="G15" i="4" s="1"/>
  <c r="AQ15" i="4" s="1"/>
  <c r="AL15" i="4"/>
  <c r="AM15" i="4" s="1"/>
  <c r="J15" i="4"/>
  <c r="AO24" i="4"/>
  <c r="AJ27" i="4"/>
  <c r="AK27" i="4" s="1"/>
  <c r="AI6" i="4"/>
  <c r="AJ6" i="4"/>
  <c r="AO29" i="4"/>
  <c r="AO9" i="4"/>
  <c r="AK13" i="4"/>
  <c r="AP13" i="4" s="1"/>
  <c r="AJ9" i="4"/>
  <c r="AK9" i="4" s="1"/>
  <c r="AP9" i="4" s="1"/>
  <c r="AO12" i="4"/>
  <c r="AI16" i="4"/>
  <c r="AJ16" i="4" s="1"/>
  <c r="AK16" i="4" s="1"/>
  <c r="AP16" i="4" s="1"/>
  <c r="AM30" i="4"/>
  <c r="AN30" i="4" s="1"/>
  <c r="J6" i="4"/>
  <c r="AL6" i="4"/>
  <c r="I6" i="4"/>
  <c r="H6" i="4" s="1"/>
  <c r="G6" i="4" s="1"/>
  <c r="AQ6" i="4" s="1"/>
  <c r="AP10" i="4"/>
  <c r="AK31" i="4"/>
  <c r="AP31" i="4" s="1"/>
  <c r="AP17" i="4"/>
  <c r="AO30" i="4" l="1"/>
  <c r="AJ22" i="4"/>
  <c r="AK22" i="4" s="1"/>
  <c r="AM10" i="4"/>
  <c r="AN10" i="4" s="1"/>
  <c r="AO10" i="4" s="1"/>
  <c r="AN15" i="4"/>
  <c r="AO15" i="4" s="1"/>
  <c r="AP12" i="4"/>
  <c r="AK6" i="4"/>
  <c r="AP6" i="4" s="1"/>
  <c r="AO22" i="4"/>
  <c r="AM6" i="4"/>
  <c r="AN6" i="4" s="1"/>
  <c r="AP22" i="4"/>
  <c r="AP27" i="4"/>
  <c r="AM14" i="4"/>
  <c r="AN14" i="4" s="1"/>
  <c r="AO14" i="4" l="1"/>
  <c r="AO6" i="4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xx</author>
  </authors>
  <commentList>
    <comment ref="C25" authorId="0" shapeId="0" xr:uid="{00000000-0006-0000-0000-000001000000}">
      <text>
        <r>
          <rPr>
            <sz val="8"/>
            <color indexed="81"/>
            <rFont val="Tahoma"/>
            <family val="2"/>
          </rPr>
          <t>Indica el Huso (o Zona UTM) en el que están las coordenadas que se quieren convertir.</t>
        </r>
      </text>
    </comment>
    <comment ref="C26" authorId="0" shapeId="0" xr:uid="{00000000-0006-0000-0000-000002000000}">
      <text>
        <r>
          <rPr>
            <sz val="8"/>
            <color indexed="81"/>
            <rFont val="Tahoma"/>
            <family val="2"/>
          </rPr>
          <t>Indica si las coordenadas a convertir están en el hemisferio Norte (N) o en el Sur (S).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xx</author>
  </authors>
  <commentList>
    <comment ref="C25" authorId="0" shapeId="0" xr:uid="{00000000-0006-0000-0100-000001000000}">
      <text>
        <r>
          <rPr>
            <sz val="8"/>
            <color indexed="81"/>
            <rFont val="Tahoma"/>
            <family val="2"/>
          </rPr>
          <t>Indica si la latitud introducida está al Norte (N) o al Sur (S) del Ecuador.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xx</author>
  </authors>
  <commentList>
    <comment ref="B4" authorId="0" shapeId="0" xr:uid="{00000000-0006-0000-0200-000001000000}">
      <text>
        <r>
          <rPr>
            <sz val="8"/>
            <color indexed="81"/>
            <rFont val="Tahoma"/>
            <family val="2"/>
          </rPr>
          <t>Introducir aquí los Grados de la latitud.</t>
        </r>
      </text>
    </comment>
    <comment ref="C4" authorId="0" shapeId="0" xr:uid="{00000000-0006-0000-0200-000002000000}">
      <text>
        <r>
          <rPr>
            <sz val="8"/>
            <color indexed="81"/>
            <rFont val="Tahoma"/>
            <family val="2"/>
          </rPr>
          <t>Introducir aquí los Minutos de la latitud.</t>
        </r>
      </text>
    </comment>
    <comment ref="D4" authorId="0" shapeId="0" xr:uid="{00000000-0006-0000-0200-000003000000}">
      <text>
        <r>
          <rPr>
            <sz val="8"/>
            <color indexed="81"/>
            <rFont val="Tahoma"/>
            <family val="2"/>
          </rPr>
          <t>Introducir aquí los Segundos de la latitud.</t>
        </r>
      </text>
    </comment>
    <comment ref="E4" authorId="0" shapeId="0" xr:uid="{00000000-0006-0000-0200-000004000000}">
      <text>
        <r>
          <rPr>
            <sz val="8"/>
            <color indexed="81"/>
            <rFont val="Tahoma"/>
            <family val="2"/>
          </rPr>
          <t>Indicar si la latitud introducida está al Norte (N) o al Sur (S) del Ecuador.</t>
        </r>
      </text>
    </comment>
    <comment ref="F4" authorId="0" shapeId="0" xr:uid="{00000000-0006-0000-0200-000005000000}">
      <text>
        <r>
          <rPr>
            <sz val="8"/>
            <color indexed="81"/>
            <rFont val="Tahoma"/>
            <family val="2"/>
          </rPr>
          <t>Introducir aquí los Grados de la longitud.</t>
        </r>
      </text>
    </comment>
    <comment ref="G4" authorId="0" shapeId="0" xr:uid="{00000000-0006-0000-0200-000006000000}">
      <text>
        <r>
          <rPr>
            <sz val="8"/>
            <color indexed="81"/>
            <rFont val="Tahoma"/>
            <family val="2"/>
          </rPr>
          <t>Introducir aquí los Minutos de la longitud.</t>
        </r>
      </text>
    </comment>
    <comment ref="H4" authorId="0" shapeId="0" xr:uid="{00000000-0006-0000-0200-000007000000}">
      <text>
        <r>
          <rPr>
            <sz val="8"/>
            <color indexed="81"/>
            <rFont val="Tahoma"/>
            <family val="2"/>
          </rPr>
          <t>Introducir aquí los Segundos de la longitud.</t>
        </r>
      </text>
    </comment>
    <comment ref="I4" authorId="0" shapeId="0" xr:uid="{00000000-0006-0000-0200-000008000000}">
      <text>
        <r>
          <rPr>
            <sz val="8"/>
            <color indexed="81"/>
            <rFont val="Tahoma"/>
            <family val="2"/>
          </rPr>
          <t>Indicar si la longitud introducida está al Oeste (W) o al Este (E) del Meridiano de Greenwich.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Franz Leonardo</author>
  </authors>
  <commentList>
    <comment ref="B4" authorId="0" shapeId="0" xr:uid="{00000000-0006-0000-0300-000001000000}">
      <text>
        <r>
          <rPr>
            <sz val="9"/>
            <color indexed="81"/>
            <rFont val="Tahoma"/>
            <family val="2"/>
          </rPr>
          <t>Introduce aquí los grados decimales de latitud indicando el signo (+ = N; - = S)</t>
        </r>
      </text>
    </comment>
    <comment ref="C4" authorId="0" shapeId="0" xr:uid="{00000000-0006-0000-0300-000002000000}">
      <text>
        <r>
          <rPr>
            <sz val="9"/>
            <color indexed="81"/>
            <rFont val="Tahoma"/>
            <family val="2"/>
          </rPr>
          <t>Introduce aquí los grados decimales de longitud indicando el signo (+ = E; - = W)</t>
        </r>
      </text>
    </comment>
  </commentList>
</comments>
</file>

<file path=xl/sharedStrings.xml><?xml version="1.0" encoding="utf-8"?>
<sst xmlns="http://schemas.openxmlformats.org/spreadsheetml/2006/main" count="158" uniqueCount="62">
  <si>
    <t>Conversión de Coordenadas UTM a Grados Decimales</t>
  </si>
  <si>
    <t>Ingrese sus coordenadas</t>
  </si>
  <si>
    <t>UTM</t>
  </si>
  <si>
    <t>Grados decimales</t>
  </si>
  <si>
    <t>Grados, minutos y segundos</t>
  </si>
  <si>
    <t>Este</t>
  </si>
  <si>
    <t>Norte</t>
  </si>
  <si>
    <t>Banda Lat.</t>
  </si>
  <si>
    <t>Banda (-72 a -16)</t>
  </si>
  <si>
    <t>Banda (-8 a 48)</t>
  </si>
  <si>
    <t>Banda (56 a 84)</t>
  </si>
  <si>
    <t>Fi'</t>
  </si>
  <si>
    <t>Ni</t>
  </si>
  <si>
    <t>Fi en Radianes:</t>
  </si>
  <si>
    <t>Meridiano Central:</t>
  </si>
  <si>
    <t>Y al sur del Ecuador:</t>
  </si>
  <si>
    <t>a</t>
  </si>
  <si>
    <t>A1</t>
  </si>
  <si>
    <t>A2</t>
  </si>
  <si>
    <t>J2</t>
  </si>
  <si>
    <t>J4</t>
  </si>
  <si>
    <t>J6</t>
  </si>
  <si>
    <t>Alfa</t>
  </si>
  <si>
    <t>Beta</t>
  </si>
  <si>
    <t>Gamma</t>
  </si>
  <si>
    <t>B(fi)</t>
  </si>
  <si>
    <t>b</t>
  </si>
  <si>
    <t>Zeta</t>
  </si>
  <si>
    <t>Xi</t>
  </si>
  <si>
    <t>Eta</t>
  </si>
  <si>
    <t>Sen h Xi</t>
  </si>
  <si>
    <t>Delta Lambda</t>
  </si>
  <si>
    <t>Tau</t>
  </si>
  <si>
    <t>Latitud</t>
  </si>
  <si>
    <t>Longitud</t>
  </si>
  <si>
    <t>UTM waypoint Garmin</t>
  </si>
  <si>
    <t>DATUM WGS84</t>
  </si>
  <si>
    <t>a (semieje mayor)</t>
  </si>
  <si>
    <t>b (semieje menor)</t>
  </si>
  <si>
    <t>Excentricidad</t>
  </si>
  <si>
    <t>2ª Excentric. ( e' )</t>
  </si>
  <si>
    <t>e' ²</t>
  </si>
  <si>
    <t>c (radio polar de curvatura)</t>
  </si>
  <si>
    <t>DATOS DE ENTRADA</t>
  </si>
  <si>
    <t>Huso</t>
  </si>
  <si>
    <t>Hemisferio</t>
  </si>
  <si>
    <t>S</t>
  </si>
  <si>
    <t>www.acolita.com</t>
  </si>
  <si>
    <t>Si requiere más filas, no olvide arrastrar la función incluidas las columnas ocultas</t>
  </si>
  <si>
    <t>Conversión de Coordenadas Grados Decimales a UTM</t>
  </si>
  <si>
    <t>En Radianes Long</t>
  </si>
  <si>
    <t>En Radianes Lat</t>
  </si>
  <si>
    <t>Cálculo Huso:</t>
  </si>
  <si>
    <t>Meridiano Huso:</t>
  </si>
  <si>
    <t>A</t>
  </si>
  <si>
    <t>Este (X)</t>
  </si>
  <si>
    <t>Norte (Y)</t>
  </si>
  <si>
    <t>Zona</t>
  </si>
  <si>
    <t>Banda</t>
  </si>
  <si>
    <t>Conversión de Coordenadas en Grados, Minutos y Segundos a Grados Decimales</t>
  </si>
  <si>
    <t>W</t>
  </si>
  <si>
    <t>Conversión de Grados Decimales a Coordenadas en Grados, Minutos y Segundos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</si>
</sst>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General\ &quot;° &quot;"/>
    <numFmt numFmtId="165" formatCode="General\ &quot;' &quot;"/>
    <numFmt numFmtId="166" formatCode="General\ &quot;'' &quot;"/>
    <numFmt numFmtId="167" formatCode="General\ &quot;''&quot;"/>
    <numFmt numFmtId="168" formatCode="0.000"/>
    <numFmt numFmtId="169" formatCode="0.0000000"/>
    <numFmt numFmtId="170" formatCode="0.00000000"/>
  </numFmts>
  <fonts count="35">
    <font>
      <sz val="10"/>
      <name val="Arial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sz val="8"/>
      <name val="Calibri"/>
      <family val="2"/>
    </font>
    <font>
      <sz val="8"/>
      <color indexed="81"/>
      <name val="Tahoma"/>
      <family val="2"/>
    </font>
    <font>
      <sz val="8"/>
      <name val="Arial"/>
      <family val="2"/>
    </font>
    <font>
      <b/>
      <sz val="11"/>
      <name val="Calibri"/>
      <family val="2"/>
    </font>
    <font>
      <sz val="11"/>
      <name val="Calibri"/>
      <family val="2"/>
    </font>
    <font>
      <b/>
      <sz val="14"/>
      <color indexed="8"/>
      <name val="Calibri"/>
      <family val="2"/>
    </font>
    <font>
      <sz val="10"/>
      <name val="Arial"/>
    </font>
    <font>
      <b/>
      <sz val="14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indexed="8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10"/>
      <name val="Calibri"/>
      <family val="2"/>
      <scheme val="minor"/>
    </font>
    <font>
      <u/>
      <sz val="10"/>
      <color theme="10"/>
      <name val="Arial"/>
    </font>
    <font>
      <sz val="11"/>
      <color rgb="FF0070C0"/>
      <name val="Calibri"/>
      <family val="2"/>
      <scheme val="minor"/>
    </font>
    <font>
      <sz val="9"/>
      <color indexed="81"/>
      <name val="Tahoma"/>
      <family val="2"/>
    </font>
  </fonts>
  <fills count="2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3" tint="0.39997558519241921"/>
        <bgColor indexed="64"/>
      </patternFill>
    </fill>
  </fills>
  <borders count="1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3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3" fillId="16" borderId="1" applyNumberFormat="0" applyAlignment="0" applyProtection="0"/>
    <xf numFmtId="0" fontId="4" fillId="17" borderId="2" applyNumberFormat="0" applyAlignment="0" applyProtection="0"/>
    <xf numFmtId="0" fontId="5" fillId="0" borderId="3" applyNumberFormat="0" applyFill="0" applyAlignment="0" applyProtection="0"/>
    <xf numFmtId="0" fontId="6" fillId="0" borderId="0" applyNumberFormat="0" applyFill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21" borderId="0" applyNumberFormat="0" applyBorder="0" applyAlignment="0" applyProtection="0"/>
    <xf numFmtId="0" fontId="7" fillId="7" borderId="1" applyNumberFormat="0" applyAlignment="0" applyProtection="0"/>
    <xf numFmtId="0" fontId="8" fillId="3" borderId="0" applyNumberFormat="0" applyBorder="0" applyAlignment="0" applyProtection="0"/>
    <xf numFmtId="0" fontId="9" fillId="22" borderId="0" applyNumberFormat="0" applyBorder="0" applyAlignment="0" applyProtection="0"/>
    <xf numFmtId="0" fontId="1" fillId="0" borderId="0"/>
    <xf numFmtId="0" fontId="22" fillId="0" borderId="0"/>
    <xf numFmtId="0" fontId="1" fillId="23" borderId="4" applyNumberFormat="0" applyFont="0" applyAlignment="0" applyProtection="0"/>
    <xf numFmtId="0" fontId="10" fillId="16" borderId="5" applyNumberFormat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6" applyNumberFormat="0" applyFill="0" applyAlignment="0" applyProtection="0"/>
    <xf numFmtId="0" fontId="6" fillId="0" borderId="7" applyNumberFormat="0" applyFill="0" applyAlignment="0" applyProtection="0"/>
    <xf numFmtId="0" fontId="15" fillId="0" borderId="8" applyNumberFormat="0" applyFill="0" applyAlignment="0" applyProtection="0"/>
    <xf numFmtId="0" fontId="32" fillId="0" borderId="0" applyNumberFormat="0" applyFill="0" applyBorder="0" applyAlignment="0" applyProtection="0"/>
  </cellStyleXfs>
  <cellXfs count="70">
    <xf numFmtId="0" fontId="0" fillId="0" borderId="0" xfId="0"/>
    <xf numFmtId="0" fontId="1" fillId="0" borderId="0" xfId="32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21" fillId="0" borderId="0" xfId="32" applyFont="1" applyAlignment="1">
      <alignment horizontal="left" vertical="center"/>
    </xf>
    <xf numFmtId="0" fontId="15" fillId="0" borderId="0" xfId="32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164" fontId="20" fillId="0" borderId="9" xfId="32" applyNumberFormat="1" applyFont="1" applyBorder="1" applyAlignment="1" applyProtection="1">
      <alignment horizontal="center" vertical="center"/>
      <protection locked="0"/>
    </xf>
    <xf numFmtId="165" fontId="20" fillId="0" borderId="9" xfId="32" applyNumberFormat="1" applyFont="1" applyBorder="1" applyAlignment="1" applyProtection="1">
      <alignment horizontal="center" vertical="center"/>
      <protection locked="0"/>
    </xf>
    <xf numFmtId="166" fontId="20" fillId="0" borderId="9" xfId="32" applyNumberFormat="1" applyFont="1" applyBorder="1" applyAlignment="1" applyProtection="1">
      <alignment horizontal="center" vertical="center"/>
      <protection locked="0"/>
    </xf>
    <xf numFmtId="170" fontId="19" fillId="0" borderId="0" xfId="32" applyNumberFormat="1" applyFont="1" applyAlignment="1">
      <alignment horizontal="center" vertical="center"/>
    </xf>
    <xf numFmtId="0" fontId="23" fillId="0" borderId="0" xfId="32" applyFont="1" applyAlignment="1">
      <alignment horizontal="left" vertical="center"/>
    </xf>
    <xf numFmtId="0" fontId="24" fillId="0" borderId="0" xfId="32" applyFont="1" applyAlignment="1">
      <alignment horizontal="center" vertical="center"/>
    </xf>
    <xf numFmtId="0" fontId="25" fillId="0" borderId="0" xfId="32" applyFont="1" applyAlignment="1">
      <alignment horizontal="center" vertical="center"/>
    </xf>
    <xf numFmtId="0" fontId="26" fillId="0" borderId="0" xfId="32" applyFont="1" applyAlignment="1">
      <alignment horizontal="center" vertical="center"/>
    </xf>
    <xf numFmtId="0" fontId="24" fillId="0" borderId="10" xfId="32" applyFont="1" applyBorder="1" applyAlignment="1">
      <alignment horizontal="center" vertical="center"/>
    </xf>
    <xf numFmtId="0" fontId="26" fillId="0" borderId="10" xfId="0" applyFont="1" applyBorder="1" applyAlignment="1">
      <alignment horizontal="center"/>
    </xf>
    <xf numFmtId="0" fontId="28" fillId="0" borderId="0" xfId="0" applyFont="1" applyAlignment="1">
      <alignment horizontal="center" vertical="center"/>
    </xf>
    <xf numFmtId="0" fontId="28" fillId="0" borderId="0" xfId="32" applyFont="1" applyAlignment="1">
      <alignment horizontal="center" vertical="center"/>
    </xf>
    <xf numFmtId="0" fontId="27" fillId="0" borderId="9" xfId="32" applyFont="1" applyBorder="1" applyAlignment="1">
      <alignment horizontal="center" vertical="center"/>
    </xf>
    <xf numFmtId="0" fontId="29" fillId="0" borderId="0" xfId="0" applyFont="1" applyAlignment="1">
      <alignment horizontal="center" vertical="center" wrapText="1"/>
    </xf>
    <xf numFmtId="168" fontId="29" fillId="0" borderId="0" xfId="0" applyNumberFormat="1" applyFont="1" applyAlignment="1">
      <alignment horizontal="center" vertical="center" wrapText="1"/>
    </xf>
    <xf numFmtId="1" fontId="29" fillId="0" borderId="0" xfId="0" applyNumberFormat="1" applyFont="1" applyAlignment="1">
      <alignment horizontal="center" vertical="center" wrapText="1"/>
    </xf>
    <xf numFmtId="0" fontId="29" fillId="0" borderId="0" xfId="0" applyFont="1" applyAlignment="1">
      <alignment horizontal="center" vertical="center"/>
    </xf>
    <xf numFmtId="0" fontId="29" fillId="0" borderId="0" xfId="32" applyFont="1" applyAlignment="1">
      <alignment horizontal="center" vertical="center"/>
    </xf>
    <xf numFmtId="170" fontId="26" fillId="0" borderId="0" xfId="32" applyNumberFormat="1" applyFont="1" applyAlignment="1">
      <alignment horizontal="center" vertical="center"/>
    </xf>
    <xf numFmtId="164" fontId="26" fillId="0" borderId="0" xfId="32" applyNumberFormat="1" applyFont="1" applyAlignment="1">
      <alignment horizontal="center" vertical="center"/>
    </xf>
    <xf numFmtId="165" fontId="26" fillId="0" borderId="0" xfId="32" applyNumberFormat="1" applyFont="1" applyAlignment="1">
      <alignment horizontal="center" vertical="center"/>
    </xf>
    <xf numFmtId="166" fontId="26" fillId="0" borderId="0" xfId="32" applyNumberFormat="1" applyFont="1" applyAlignment="1">
      <alignment horizontal="center" vertical="center"/>
    </xf>
    <xf numFmtId="0" fontId="30" fillId="0" borderId="0" xfId="0" applyFont="1" applyAlignment="1">
      <alignment horizontal="center" vertical="center" wrapText="1"/>
    </xf>
    <xf numFmtId="1" fontId="30" fillId="0" borderId="0" xfId="0" applyNumberFormat="1" applyFont="1" applyAlignment="1">
      <alignment horizontal="center" vertical="center" wrapText="1"/>
    </xf>
    <xf numFmtId="0" fontId="25" fillId="0" borderId="0" xfId="0" applyFont="1" applyAlignment="1">
      <alignment horizontal="center" vertical="center"/>
    </xf>
    <xf numFmtId="164" fontId="31" fillId="0" borderId="0" xfId="32" applyNumberFormat="1" applyFont="1" applyAlignment="1">
      <alignment horizontal="center" vertical="center"/>
    </xf>
    <xf numFmtId="165" fontId="31" fillId="0" borderId="0" xfId="32" applyNumberFormat="1" applyFont="1" applyAlignment="1">
      <alignment horizontal="center" vertical="center"/>
    </xf>
    <xf numFmtId="166" fontId="31" fillId="0" borderId="0" xfId="32" applyNumberFormat="1" applyFont="1" applyAlignment="1">
      <alignment horizontal="center" vertical="center"/>
    </xf>
    <xf numFmtId="0" fontId="27" fillId="0" borderId="0" xfId="32" applyFont="1" applyAlignment="1">
      <alignment horizontal="center" vertical="center"/>
    </xf>
    <xf numFmtId="0" fontId="27" fillId="0" borderId="0" xfId="32" applyFont="1" applyAlignment="1">
      <alignment horizontal="left" vertical="center"/>
    </xf>
    <xf numFmtId="0" fontId="28" fillId="0" borderId="0" xfId="0" applyFont="1" applyAlignment="1">
      <alignment horizontal="center"/>
    </xf>
    <xf numFmtId="0" fontId="29" fillId="0" borderId="0" xfId="0" applyFont="1"/>
    <xf numFmtId="168" fontId="26" fillId="0" borderId="0" xfId="0" applyNumberFormat="1" applyFont="1" applyAlignment="1">
      <alignment horizontal="center"/>
    </xf>
    <xf numFmtId="0" fontId="26" fillId="0" borderId="0" xfId="0" applyFont="1" applyAlignment="1">
      <alignment horizontal="center"/>
    </xf>
    <xf numFmtId="0" fontId="25" fillId="0" borderId="0" xfId="0" applyFont="1"/>
    <xf numFmtId="169" fontId="29" fillId="0" borderId="0" xfId="33" applyNumberFormat="1" applyFont="1" applyAlignment="1">
      <alignment horizontal="center"/>
    </xf>
    <xf numFmtId="0" fontId="29" fillId="0" borderId="10" xfId="32" applyFont="1" applyBorder="1" applyAlignment="1" applyProtection="1">
      <alignment horizontal="center" vertical="center"/>
      <protection locked="0"/>
    </xf>
    <xf numFmtId="167" fontId="29" fillId="0" borderId="10" xfId="32" applyNumberFormat="1" applyFont="1" applyBorder="1" applyAlignment="1" applyProtection="1">
      <alignment horizontal="center" vertical="center"/>
      <protection locked="0"/>
    </xf>
    <xf numFmtId="167" fontId="29" fillId="0" borderId="10" xfId="0" applyNumberFormat="1" applyFont="1" applyBorder="1" applyAlignment="1" applyProtection="1">
      <alignment horizontal="center"/>
      <protection locked="0"/>
    </xf>
    <xf numFmtId="0" fontId="26" fillId="24" borderId="10" xfId="32" applyFont="1" applyFill="1" applyBorder="1" applyAlignment="1">
      <alignment horizontal="center" vertical="center"/>
    </xf>
    <xf numFmtId="0" fontId="27" fillId="24" borderId="10" xfId="0" applyFont="1" applyFill="1" applyBorder="1" applyAlignment="1">
      <alignment horizontal="center" vertical="center"/>
    </xf>
    <xf numFmtId="0" fontId="27" fillId="24" borderId="10" xfId="32" applyFont="1" applyFill="1" applyBorder="1" applyAlignment="1">
      <alignment horizontal="center" vertical="center"/>
    </xf>
    <xf numFmtId="167" fontId="20" fillId="24" borderId="9" xfId="32" applyNumberFormat="1" applyFont="1" applyFill="1" applyBorder="1" applyAlignment="1" applyProtection="1">
      <alignment horizontal="center" vertical="center"/>
      <protection locked="0"/>
    </xf>
    <xf numFmtId="164" fontId="20" fillId="0" borderId="9" xfId="32" applyNumberFormat="1" applyFont="1" applyBorder="1" applyAlignment="1">
      <alignment horizontal="center" vertical="center"/>
    </xf>
    <xf numFmtId="165" fontId="20" fillId="0" borderId="9" xfId="32" applyNumberFormat="1" applyFont="1" applyBorder="1" applyAlignment="1">
      <alignment horizontal="center" vertical="center"/>
    </xf>
    <xf numFmtId="166" fontId="20" fillId="0" borderId="9" xfId="32" applyNumberFormat="1" applyFont="1" applyBorder="1" applyAlignment="1">
      <alignment horizontal="center" vertical="center"/>
    </xf>
    <xf numFmtId="167" fontId="20" fillId="24" borderId="9" xfId="32" applyNumberFormat="1" applyFont="1" applyFill="1" applyBorder="1" applyAlignment="1">
      <alignment horizontal="center" vertical="center"/>
    </xf>
    <xf numFmtId="0" fontId="27" fillId="0" borderId="10" xfId="32" applyFont="1" applyBorder="1" applyAlignment="1">
      <alignment horizontal="center" vertical="center"/>
    </xf>
    <xf numFmtId="0" fontId="24" fillId="0" borderId="0" xfId="32" applyFont="1" applyAlignment="1">
      <alignment horizontal="center" vertical="center"/>
    </xf>
    <xf numFmtId="0" fontId="26" fillId="0" borderId="10" xfId="32" applyFont="1" applyBorder="1" applyAlignment="1">
      <alignment horizontal="center" vertical="center"/>
    </xf>
    <xf numFmtId="0" fontId="27" fillId="0" borderId="10" xfId="32" applyFont="1" applyBorder="1" applyAlignment="1">
      <alignment horizontal="center" vertical="center"/>
    </xf>
    <xf numFmtId="0" fontId="27" fillId="24" borderId="11" xfId="32" applyFont="1" applyFill="1" applyBorder="1" applyAlignment="1">
      <alignment horizontal="center" vertical="center"/>
    </xf>
    <xf numFmtId="0" fontId="27" fillId="24" borderId="12" xfId="32" applyFont="1" applyFill="1" applyBorder="1" applyAlignment="1">
      <alignment horizontal="center" vertical="center"/>
    </xf>
    <xf numFmtId="0" fontId="27" fillId="24" borderId="13" xfId="32" applyFont="1" applyFill="1" applyBorder="1" applyAlignment="1">
      <alignment horizontal="center" vertical="center"/>
    </xf>
    <xf numFmtId="0" fontId="33" fillId="0" borderId="14" xfId="32" applyFont="1" applyBorder="1" applyAlignment="1">
      <alignment horizontal="center" vertical="center"/>
    </xf>
    <xf numFmtId="0" fontId="24" fillId="0" borderId="0" xfId="32" applyFont="1" applyAlignment="1">
      <alignment horizontal="center" vertical="center" wrapText="1"/>
    </xf>
    <xf numFmtId="0" fontId="32" fillId="0" borderId="0" xfId="42" applyAlignment="1">
      <alignment horizontal="center" vertical="center"/>
    </xf>
    <xf numFmtId="0" fontId="24" fillId="0" borderId="0" xfId="32" applyFont="1" applyAlignment="1">
      <alignment horizontal="center" vertical="center"/>
    </xf>
    <xf numFmtId="0" fontId="26" fillId="0" borderId="10" xfId="32" applyFont="1" applyBorder="1" applyAlignment="1">
      <alignment horizontal="center" vertical="center"/>
    </xf>
    <xf numFmtId="0" fontId="26" fillId="0" borderId="11" xfId="0" applyFont="1" applyBorder="1" applyAlignment="1">
      <alignment horizontal="center"/>
    </xf>
    <xf numFmtId="0" fontId="26" fillId="0" borderId="12" xfId="0" applyFont="1" applyBorder="1" applyAlignment="1">
      <alignment horizontal="center"/>
    </xf>
    <xf numFmtId="0" fontId="19" fillId="24" borderId="11" xfId="0" applyFont="1" applyFill="1" applyBorder="1" applyAlignment="1">
      <alignment horizontal="center" vertical="center"/>
    </xf>
    <xf numFmtId="0" fontId="19" fillId="24" borderId="12" xfId="0" applyFont="1" applyFill="1" applyBorder="1" applyAlignment="1">
      <alignment horizontal="center" vertical="center"/>
    </xf>
    <xf numFmtId="0" fontId="19" fillId="24" borderId="13" xfId="0" applyFont="1" applyFill="1" applyBorder="1" applyAlignment="1">
      <alignment horizontal="center" vertical="center"/>
    </xf>
  </cellXfs>
  <cellStyles count="43">
    <cellStyle name="20% - Énfasis1" xfId="1" builtinId="30" customBuiltin="1"/>
    <cellStyle name="20% - Énfasis2" xfId="2" builtinId="34" customBuiltin="1"/>
    <cellStyle name="20% - Énfasis3" xfId="3" builtinId="38" customBuiltin="1"/>
    <cellStyle name="20% - Énfasis4" xfId="4" builtinId="42" customBuiltin="1"/>
    <cellStyle name="20% - Énfasis5" xfId="5" builtinId="46" customBuiltin="1"/>
    <cellStyle name="20% - Énfasis6" xfId="6" builtinId="50" customBuiltin="1"/>
    <cellStyle name="40% - Énfasis1" xfId="7" builtinId="31" customBuiltin="1"/>
    <cellStyle name="40% - Énfasis2" xfId="8" builtinId="35" customBuiltin="1"/>
    <cellStyle name="40% - Énfasis3" xfId="9" builtinId="39" customBuiltin="1"/>
    <cellStyle name="40% - Énfasis4" xfId="10" builtinId="43" customBuiltin="1"/>
    <cellStyle name="40% - Énfasis5" xfId="11" builtinId="47" customBuiltin="1"/>
    <cellStyle name="40% - Énfasis6" xfId="12" builtinId="51" customBuiltin="1"/>
    <cellStyle name="60% - Énfasis1" xfId="13" builtinId="32" customBuiltin="1"/>
    <cellStyle name="60% - Énfasis2" xfId="14" builtinId="36" customBuiltin="1"/>
    <cellStyle name="60% - Énfasis3" xfId="15" builtinId="40" customBuiltin="1"/>
    <cellStyle name="60% - Énfasis4" xfId="16" builtinId="44" customBuiltin="1"/>
    <cellStyle name="60% - Énfasis5" xfId="17" builtinId="48" customBuiltin="1"/>
    <cellStyle name="60% - Énfasis6" xfId="18" builtinId="52" customBuiltin="1"/>
    <cellStyle name="Cálculo" xfId="19" builtinId="22" customBuiltin="1"/>
    <cellStyle name="Celda de comprobación" xfId="20" builtinId="23" customBuiltin="1"/>
    <cellStyle name="Celda vinculada" xfId="21" builtinId="24" customBuiltin="1"/>
    <cellStyle name="Encabezado 4" xfId="22" builtinId="19" customBuiltin="1"/>
    <cellStyle name="Énfasis1" xfId="23" builtinId="29" customBuiltin="1"/>
    <cellStyle name="Énfasis2" xfId="24" builtinId="33" customBuiltin="1"/>
    <cellStyle name="Énfasis3" xfId="25" builtinId="37" customBuiltin="1"/>
    <cellStyle name="Énfasis4" xfId="26" builtinId="41" customBuiltin="1"/>
    <cellStyle name="Énfasis5" xfId="27" builtinId="45" customBuiltin="1"/>
    <cellStyle name="Énfasis6" xfId="28" builtinId="49" customBuiltin="1"/>
    <cellStyle name="Entrada" xfId="29" builtinId="20" customBuiltin="1"/>
    <cellStyle name="Hipervínculo" xfId="42" builtinId="8"/>
    <cellStyle name="Incorrecto" xfId="30" builtinId="27" customBuiltin="1"/>
    <cellStyle name="Neutral" xfId="31" builtinId="28" customBuiltin="1"/>
    <cellStyle name="Normal" xfId="0" builtinId="0"/>
    <cellStyle name="Normal_DERIVADORES" xfId="32" xr:uid="{00000000-0005-0000-0000-000021000000}"/>
    <cellStyle name="Normal_Hoja1" xfId="33" xr:uid="{00000000-0005-0000-0000-000022000000}"/>
    <cellStyle name="Notas" xfId="34" builtinId="10" customBuiltin="1"/>
    <cellStyle name="Salida" xfId="35" builtinId="21" customBuiltin="1"/>
    <cellStyle name="Texto de advertencia" xfId="36" builtinId="11" customBuiltin="1"/>
    <cellStyle name="Texto explicativo" xfId="37" builtinId="53" customBuiltin="1"/>
    <cellStyle name="Título" xfId="38" builtinId="15" customBuiltin="1"/>
    <cellStyle name="Título 2" xfId="39" builtinId="17" customBuiltin="1"/>
    <cellStyle name="Título 3" xfId="40" builtinId="18" customBuiltin="1"/>
    <cellStyle name="Total" xfId="41" builtinId="25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acolita.com" TargetMode="Externa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acolita.com" TargetMode="Externa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acolita.com" TargetMode="Externa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acolita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371475</xdr:colOff>
      <xdr:row>2</xdr:row>
      <xdr:rowOff>38100</xdr:rowOff>
    </xdr:from>
    <xdr:to>
      <xdr:col>2</xdr:col>
      <xdr:colOff>628650</xdr:colOff>
      <xdr:row>12</xdr:row>
      <xdr:rowOff>57150</xdr:rowOff>
    </xdr:to>
    <xdr:pic>
      <xdr:nvPicPr>
        <xdr:cNvPr id="3" name="Imagen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A840F809-087A-4A77-A6AC-356AC0A5B6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2450" y="466725"/>
          <a:ext cx="1924050" cy="192405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295275</xdr:colOff>
      <xdr:row>2</xdr:row>
      <xdr:rowOff>19050</xdr:rowOff>
    </xdr:from>
    <xdr:to>
      <xdr:col>2</xdr:col>
      <xdr:colOff>552450</xdr:colOff>
      <xdr:row>12</xdr:row>
      <xdr:rowOff>38100</xdr:rowOff>
    </xdr:to>
    <xdr:pic>
      <xdr:nvPicPr>
        <xdr:cNvPr id="2" name="Imagen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5F34309-223D-47D1-A134-C393E28380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0" y="447675"/>
          <a:ext cx="1924050" cy="192405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38100</xdr:colOff>
      <xdr:row>10</xdr:row>
      <xdr:rowOff>9525</xdr:rowOff>
    </xdr:from>
    <xdr:to>
      <xdr:col>14</xdr:col>
      <xdr:colOff>438150</xdr:colOff>
      <xdr:row>20</xdr:row>
      <xdr:rowOff>28575</xdr:rowOff>
    </xdr:to>
    <xdr:pic>
      <xdr:nvPicPr>
        <xdr:cNvPr id="2" name="Imagen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AD79D03F-1542-4658-999C-30FF9D91F6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05700" y="1962150"/>
          <a:ext cx="1924050" cy="192405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28575</xdr:colOff>
      <xdr:row>9</xdr:row>
      <xdr:rowOff>28575</xdr:rowOff>
    </xdr:from>
    <xdr:to>
      <xdr:col>14</xdr:col>
      <xdr:colOff>428625</xdr:colOff>
      <xdr:row>19</xdr:row>
      <xdr:rowOff>47625</xdr:rowOff>
    </xdr:to>
    <xdr:pic>
      <xdr:nvPicPr>
        <xdr:cNvPr id="2" name="Imagen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9FDEDAA9-B32E-40FD-9FBF-6A7FA36B25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477375" y="1790700"/>
          <a:ext cx="1924050" cy="19240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acolita.com/" TargetMode="External"/><Relationship Id="rId5" Type="http://schemas.openxmlformats.org/officeDocument/2006/relationships/comments" Target="../comments1.xml"/><Relationship Id="rId4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://www.acolita.com/" TargetMode="External"/><Relationship Id="rId5" Type="http://schemas.openxmlformats.org/officeDocument/2006/relationships/comments" Target="../comments2.xml"/><Relationship Id="rId4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Q31"/>
  <sheetViews>
    <sheetView topLeftCell="A10" zoomScaleNormal="100" workbookViewId="0">
      <selection activeCell="B5" sqref="B5"/>
    </sheetView>
  </sheetViews>
  <sheetFormatPr defaultColWidth="11.42578125" defaultRowHeight="15"/>
  <cols>
    <col min="1" max="1" width="2.7109375" style="11" customWidth="1"/>
    <col min="2" max="2" width="25" style="11" bestFit="1" customWidth="1"/>
    <col min="3" max="3" width="13.7109375" style="11" customWidth="1"/>
    <col min="4" max="4" width="11.140625" style="11" customWidth="1"/>
    <col min="5" max="7" width="14.7109375" style="11" customWidth="1"/>
    <col min="8" max="10" width="14.7109375" style="12" hidden="1" customWidth="1"/>
    <col min="11" max="11" width="12.7109375" style="12" hidden="1" customWidth="1"/>
    <col min="12" max="12" width="12" style="12" hidden="1" customWidth="1"/>
    <col min="13" max="13" width="14.28515625" style="12" hidden="1" customWidth="1"/>
    <col min="14" max="14" width="17.85546875" style="12" hidden="1" customWidth="1"/>
    <col min="15" max="15" width="18.7109375" style="12" hidden="1" customWidth="1"/>
    <col min="16" max="16" width="12" style="12" hidden="1" customWidth="1"/>
    <col min="17" max="21" width="12.7109375" style="12" hidden="1" customWidth="1"/>
    <col min="22" max="22" width="12" style="12" hidden="1" customWidth="1"/>
    <col min="23" max="23" width="11" style="12" hidden="1" customWidth="1"/>
    <col min="24" max="24" width="12" style="12" hidden="1" customWidth="1"/>
    <col min="25" max="26" width="12.7109375" style="12" hidden="1" customWidth="1"/>
    <col min="27" max="28" width="12" style="12" hidden="1" customWidth="1"/>
    <col min="29" max="29" width="12.7109375" style="12" hidden="1" customWidth="1"/>
    <col min="30" max="30" width="12" style="12" hidden="1" customWidth="1"/>
    <col min="31" max="31" width="13" style="12" hidden="1" customWidth="1"/>
    <col min="32" max="32" width="12.7109375" style="12" hidden="1" customWidth="1"/>
    <col min="33" max="34" width="14.7109375" style="11" customWidth="1"/>
    <col min="35" max="35" width="5.28515625" style="11" hidden="1" customWidth="1"/>
    <col min="36" max="36" width="5.140625" style="11" hidden="1" customWidth="1"/>
    <col min="37" max="37" width="8.28515625" style="11" hidden="1" customWidth="1"/>
    <col min="38" max="38" width="5.28515625" style="11" hidden="1" customWidth="1"/>
    <col min="39" max="39" width="5.140625" style="11" hidden="1" customWidth="1"/>
    <col min="40" max="40" width="7.28515625" style="11" hidden="1" customWidth="1"/>
    <col min="41" max="42" width="16.7109375" style="11" customWidth="1"/>
    <col min="43" max="43" width="21.28515625" style="11" bestFit="1" customWidth="1"/>
    <col min="44" max="16384" width="11.42578125" style="11"/>
  </cols>
  <sheetData>
    <row r="1" spans="2:43" ht="18.75">
      <c r="B1" s="10" t="s">
        <v>0</v>
      </c>
      <c r="C1" s="54"/>
      <c r="D1" s="54"/>
      <c r="E1" s="54"/>
      <c r="F1" s="54"/>
      <c r="G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</row>
    <row r="2" spans="2:43">
      <c r="B2" s="13"/>
      <c r="C2" s="54"/>
      <c r="D2" s="54"/>
      <c r="E2" s="60" t="s">
        <v>1</v>
      </c>
      <c r="F2" s="60"/>
      <c r="G2" s="54"/>
      <c r="AG2" s="54"/>
      <c r="AH2" s="54"/>
      <c r="AI2" s="54"/>
      <c r="AJ2" s="54"/>
      <c r="AK2" s="54"/>
      <c r="AL2" s="54"/>
      <c r="AM2" s="54"/>
      <c r="AN2" s="54"/>
      <c r="AO2" s="54"/>
      <c r="AP2" s="54"/>
      <c r="AQ2" s="54"/>
    </row>
    <row r="3" spans="2:43">
      <c r="B3" s="54"/>
      <c r="C3" s="54"/>
      <c r="D3" s="13"/>
      <c r="E3" s="57" t="s">
        <v>2</v>
      </c>
      <c r="F3" s="58"/>
      <c r="G3" s="59"/>
      <c r="AG3" s="56" t="s">
        <v>3</v>
      </c>
      <c r="AH3" s="56"/>
      <c r="AI3" s="54"/>
      <c r="AJ3" s="54"/>
      <c r="AK3" s="54"/>
      <c r="AL3" s="54"/>
      <c r="AM3" s="54"/>
      <c r="AN3" s="54"/>
      <c r="AO3" s="56" t="s">
        <v>4</v>
      </c>
      <c r="AP3" s="56"/>
      <c r="AQ3" s="54"/>
    </row>
    <row r="4" spans="2:43">
      <c r="B4" s="54"/>
      <c r="C4" s="54"/>
      <c r="D4" s="54"/>
      <c r="E4" s="46" t="s">
        <v>5</v>
      </c>
      <c r="F4" s="46" t="s">
        <v>6</v>
      </c>
      <c r="G4" s="15" t="s">
        <v>7</v>
      </c>
      <c r="H4" s="16" t="s">
        <v>8</v>
      </c>
      <c r="I4" s="16" t="s">
        <v>9</v>
      </c>
      <c r="J4" s="16" t="s">
        <v>10</v>
      </c>
      <c r="K4" s="17" t="s">
        <v>11</v>
      </c>
      <c r="L4" s="17" t="s">
        <v>12</v>
      </c>
      <c r="M4" s="16" t="s">
        <v>13</v>
      </c>
      <c r="N4" s="16" t="s">
        <v>14</v>
      </c>
      <c r="O4" s="16" t="s">
        <v>15</v>
      </c>
      <c r="P4" s="17" t="s">
        <v>16</v>
      </c>
      <c r="Q4" s="17" t="s">
        <v>17</v>
      </c>
      <c r="R4" s="17" t="s">
        <v>18</v>
      </c>
      <c r="S4" s="17" t="s">
        <v>19</v>
      </c>
      <c r="T4" s="17" t="s">
        <v>20</v>
      </c>
      <c r="U4" s="17" t="s">
        <v>21</v>
      </c>
      <c r="V4" s="17" t="s">
        <v>22</v>
      </c>
      <c r="W4" s="17" t="s">
        <v>23</v>
      </c>
      <c r="X4" s="17" t="s">
        <v>24</v>
      </c>
      <c r="Y4" s="17" t="s">
        <v>25</v>
      </c>
      <c r="Z4" s="17" t="s">
        <v>26</v>
      </c>
      <c r="AA4" s="17" t="s">
        <v>27</v>
      </c>
      <c r="AB4" s="17" t="s">
        <v>28</v>
      </c>
      <c r="AC4" s="17" t="s">
        <v>29</v>
      </c>
      <c r="AD4" s="17" t="s">
        <v>30</v>
      </c>
      <c r="AE4" s="17" t="s">
        <v>31</v>
      </c>
      <c r="AF4" s="17" t="s">
        <v>32</v>
      </c>
      <c r="AG4" s="18" t="s">
        <v>33</v>
      </c>
      <c r="AH4" s="18" t="s">
        <v>34</v>
      </c>
      <c r="AI4" s="14"/>
      <c r="AJ4" s="14"/>
      <c r="AK4" s="14"/>
      <c r="AL4" s="14"/>
      <c r="AM4" s="14"/>
      <c r="AN4" s="14"/>
      <c r="AO4" s="53" t="s">
        <v>33</v>
      </c>
      <c r="AP4" s="53" t="s">
        <v>34</v>
      </c>
      <c r="AQ4" s="53" t="s">
        <v>35</v>
      </c>
    </row>
    <row r="5" spans="2:43" s="23" customFormat="1">
      <c r="D5" s="19"/>
      <c r="E5" s="20">
        <v>658235.69799999997</v>
      </c>
      <c r="F5" s="20">
        <v>9568214.5800000001</v>
      </c>
      <c r="G5" s="21" t="str">
        <f t="shared" ref="G5:G26" si="0">H5</f>
        <v>M</v>
      </c>
      <c r="H5" s="22" t="str">
        <f t="shared" ref="H5:H26" si="1">IF(AG5&lt;-72,"C",IF(AG5&lt;-64,"D",IF(AG5&lt;-56,"E",IF(AG5&lt;-48,"F",IF(AG5&lt;-40,"G",IF(AG5&lt;-32,"H",IF(AG5&lt;-24,"J",IF(AG5&lt;-16,"K",I5))))))))</f>
        <v>M</v>
      </c>
      <c r="I5" s="22" t="str">
        <f t="shared" ref="I5:I26" si="2">IF(AG5&lt;-8,"L",IF(AG5&lt;0,"M",IF(AG5&lt;8,"N",IF(AG5&lt;16,"P",IF(AG5&lt;24,"Q",IF(AG5&lt;32,"R",IF(AG5&lt;40,"S",IF(AG5&lt;48,"T",J5))))))))</f>
        <v>M</v>
      </c>
      <c r="J5" s="22" t="str">
        <f t="shared" ref="J5:J26" si="3">IF(AG5&lt;56,"U",IF(AG5&lt;64,"V",IF(AG5&lt;72,"W",IF(AG5&lt;84,"X","Polo Norte"))))</f>
        <v>U</v>
      </c>
      <c r="K5" s="23">
        <f t="shared" ref="K5:K12" si="4">(O5)/(6366197.724*0.9996)</f>
        <v>-6.7851835900865659E-2</v>
      </c>
      <c r="L5" s="23">
        <f t="shared" ref="L5:L31" si="5">($C$22/(1+$C$21*(COS(K5))^2)^(1/2))*0.9996</f>
        <v>6375683.8447701288</v>
      </c>
      <c r="M5" s="23">
        <f t="shared" ref="M5:M31" si="6">K5+(1+$C$21*(COS(K5))^2-(3/2)*$C$21*SIN(K5)*COS(K5)*(AF5-K5))*(AF5-K5)</f>
        <v>-6.8159028819499243E-2</v>
      </c>
      <c r="N5" s="23">
        <f t="shared" ref="N5:N31" si="7">6*$C$25-183</f>
        <v>-81</v>
      </c>
      <c r="O5" s="23">
        <f t="shared" ref="O5:O31" si="8">IF($C$26="S",F5-10000000,F5)</f>
        <v>-431785.41999999993</v>
      </c>
      <c r="P5" s="23">
        <f t="shared" ref="P5:P28" si="9">(E5-500000)/L5</f>
        <v>2.4818623672784243E-2</v>
      </c>
      <c r="Q5" s="23">
        <f t="shared" ref="Q5:Q12" si="10">SIN(2*K5)</f>
        <v>-0.135287546953408</v>
      </c>
      <c r="R5" s="23">
        <f t="shared" ref="R5:R12" si="11">Q5*(COS(K5))^2</f>
        <v>-0.13466565570196992</v>
      </c>
      <c r="S5" s="23">
        <f t="shared" ref="S5:S12" si="12">K5+(Q5/2)</f>
        <v>-0.13549560937756966</v>
      </c>
      <c r="T5" s="23">
        <f t="shared" ref="T5:T12" si="13">(3*S5+R5)/4</f>
        <v>-0.13528812095866971</v>
      </c>
      <c r="U5" s="23">
        <f t="shared" ref="U5:U12" si="14">(5*T5+R5*(COS(K5))^2)/3</f>
        <v>-0.27016240932009206</v>
      </c>
      <c r="V5" s="23">
        <f t="shared" ref="V5:V31" si="15">(3/4)*$C$21</f>
        <v>5.0546225567071803E-3</v>
      </c>
      <c r="W5" s="23">
        <f t="shared" ref="W5:W12" si="16">(5/3)*(V5)^2</f>
        <v>4.2582015317955055E-5</v>
      </c>
      <c r="X5" s="23">
        <f t="shared" ref="X5:X12" si="17">(35/27)*(V5)^3</f>
        <v>1.6740578955036711E-7</v>
      </c>
      <c r="Y5" s="23">
        <f t="shared" ref="Y5:Y31" si="18">0.9996*$C$22*(K5-(V5*S5)+(W5*T5)-(X5*U5))</f>
        <v>-429705.85468323581</v>
      </c>
      <c r="Z5" s="23">
        <f t="shared" ref="Z5:Z12" si="19">(O5-Y5)/L5</f>
        <v>-3.261713358748094E-4</v>
      </c>
      <c r="AA5" s="23">
        <f t="shared" ref="AA5:AA31" si="20">(($C$21*P5^2)/2)*(COS(K5))^2</f>
        <v>2.0661026161856418E-6</v>
      </c>
      <c r="AB5" s="23">
        <f t="shared" ref="AB5:AB12" si="21">P5*(1-(AA5/3))</f>
        <v>2.4818606580176476E-2</v>
      </c>
      <c r="AC5" s="23">
        <f t="shared" ref="AC5:AC12" si="22">Z5*(1-AA5)+K5</f>
        <v>-6.8178006562837012E-2</v>
      </c>
      <c r="AD5" s="23">
        <f t="shared" ref="AD5:AD12" si="23">(EXP(AB5)-EXP(-AB5))/2</f>
        <v>2.4821154550170921E-2</v>
      </c>
      <c r="AE5" s="23">
        <f t="shared" ref="AE5:AE12" si="24">ATAN(AD5/COS(AC5))</f>
        <v>2.4873822697870796E-2</v>
      </c>
      <c r="AF5" s="23">
        <f t="shared" ref="AF5:AF12" si="25">ATAN(COS(AE5)*TAN(AC5))</f>
        <v>-6.8156981806812608E-2</v>
      </c>
      <c r="AG5" s="24">
        <f t="shared" ref="AG5:AG26" si="26">+(M5/PI())*180</f>
        <v>-3.9052246870678524</v>
      </c>
      <c r="AH5" s="24">
        <f t="shared" ref="AH5:AH28" si="27">+(AE5/PI())*180+N5</f>
        <v>-79.574834939055293</v>
      </c>
      <c r="AI5" s="25">
        <f t="shared" ref="AI5:AI26" si="28">TRUNC(AH5,0)</f>
        <v>-79</v>
      </c>
      <c r="AJ5" s="26">
        <f t="shared" ref="AJ5:AJ26" si="29">TRUNC((AH5-AI5)*60,0)</f>
        <v>-34</v>
      </c>
      <c r="AK5" s="27">
        <f t="shared" ref="AK5:AK26" si="30">ROUND((((AH5-AI5)*60)-AJ5)*60,3)</f>
        <v>-29.405999999999999</v>
      </c>
      <c r="AL5" s="25">
        <f t="shared" ref="AL5:AL28" si="31">TRUNC(AG5,0)</f>
        <v>-3</v>
      </c>
      <c r="AM5" s="26">
        <f t="shared" ref="AM5:AM28" si="32">TRUNC((AG5-AL5)*60,0)</f>
        <v>-54</v>
      </c>
      <c r="AN5" s="27">
        <f t="shared" ref="AN5:AN28" si="33">ROUND((((AG5-AL5)*60)-AM5)*60,3)</f>
        <v>-18.809000000000001</v>
      </c>
      <c r="AO5" s="13" t="str">
        <f t="shared" ref="AO5:AO12" si="34">CONCATENATE(-AL5,"º ",-AM5,"' ",-AN5,""" S")</f>
        <v>3º 54' 18,809" S</v>
      </c>
      <c r="AP5" s="13" t="str">
        <f t="shared" ref="AP5:AP12" si="35">CONCATENATE(-AI5,"º ",-AJ5,"' ",-AK5,""" W")</f>
        <v>79º 34' 29,406" W</v>
      </c>
      <c r="AQ5" s="13" t="str">
        <f t="shared" ref="AQ5:AQ31" si="36">CONCATENATE($C$25," ",G5," ",ROUND(E5,0)," ",ROUND(F5,0))</f>
        <v>17 M 658236 9568215</v>
      </c>
    </row>
    <row r="6" spans="2:43">
      <c r="B6" s="54"/>
      <c r="C6" s="54"/>
      <c r="D6" s="28"/>
      <c r="E6" s="20">
        <v>658235.69799999997</v>
      </c>
      <c r="F6" s="20">
        <v>9568214.5800000001</v>
      </c>
      <c r="G6" s="29" t="str">
        <f t="shared" si="0"/>
        <v>M</v>
      </c>
      <c r="H6" s="30" t="str">
        <f t="shared" si="1"/>
        <v>M</v>
      </c>
      <c r="I6" s="30" t="str">
        <f t="shared" si="2"/>
        <v>M</v>
      </c>
      <c r="J6" s="30" t="str">
        <f t="shared" si="3"/>
        <v>U</v>
      </c>
      <c r="K6" s="12">
        <f t="shared" si="4"/>
        <v>-6.7851835900865659E-2</v>
      </c>
      <c r="L6" s="12">
        <f t="shared" si="5"/>
        <v>6375683.8447701288</v>
      </c>
      <c r="M6" s="12">
        <f t="shared" si="6"/>
        <v>-6.8159028819499243E-2</v>
      </c>
      <c r="N6" s="12">
        <f t="shared" si="7"/>
        <v>-81</v>
      </c>
      <c r="O6" s="12">
        <f t="shared" si="8"/>
        <v>-431785.41999999993</v>
      </c>
      <c r="P6" s="12">
        <f t="shared" si="9"/>
        <v>2.4818623672784243E-2</v>
      </c>
      <c r="Q6" s="12">
        <f t="shared" si="10"/>
        <v>-0.135287546953408</v>
      </c>
      <c r="R6" s="12">
        <f t="shared" si="11"/>
        <v>-0.13466565570196992</v>
      </c>
      <c r="S6" s="12">
        <f t="shared" si="12"/>
        <v>-0.13549560937756966</v>
      </c>
      <c r="T6" s="12">
        <f t="shared" si="13"/>
        <v>-0.13528812095866971</v>
      </c>
      <c r="U6" s="12">
        <f t="shared" si="14"/>
        <v>-0.27016240932009206</v>
      </c>
      <c r="V6" s="12">
        <f t="shared" si="15"/>
        <v>5.0546225567071803E-3</v>
      </c>
      <c r="W6" s="12">
        <f t="shared" si="16"/>
        <v>4.2582015317955055E-5</v>
      </c>
      <c r="X6" s="12">
        <f t="shared" si="17"/>
        <v>1.6740578955036711E-7</v>
      </c>
      <c r="Y6" s="12">
        <f t="shared" si="18"/>
        <v>-429705.85468323581</v>
      </c>
      <c r="Z6" s="12">
        <f t="shared" si="19"/>
        <v>-3.261713358748094E-4</v>
      </c>
      <c r="AA6" s="12">
        <f t="shared" si="20"/>
        <v>2.0661026161856418E-6</v>
      </c>
      <c r="AB6" s="12">
        <f t="shared" si="21"/>
        <v>2.4818606580176476E-2</v>
      </c>
      <c r="AC6" s="12">
        <f t="shared" si="22"/>
        <v>-6.8178006562837012E-2</v>
      </c>
      <c r="AD6" s="12">
        <f t="shared" si="23"/>
        <v>2.4821154550170921E-2</v>
      </c>
      <c r="AE6" s="12">
        <f t="shared" si="24"/>
        <v>2.4873822697870796E-2</v>
      </c>
      <c r="AF6" s="12">
        <f t="shared" si="25"/>
        <v>-6.8156981806812608E-2</v>
      </c>
      <c r="AG6" s="24">
        <f t="shared" si="26"/>
        <v>-3.9052246870678524</v>
      </c>
      <c r="AH6" s="24">
        <f t="shared" si="27"/>
        <v>-79.574834939055293</v>
      </c>
      <c r="AI6" s="31">
        <f t="shared" si="28"/>
        <v>-79</v>
      </c>
      <c r="AJ6" s="32">
        <f t="shared" si="29"/>
        <v>-34</v>
      </c>
      <c r="AK6" s="33">
        <f t="shared" si="30"/>
        <v>-29.405999999999999</v>
      </c>
      <c r="AL6" s="31">
        <f t="shared" si="31"/>
        <v>-3</v>
      </c>
      <c r="AM6" s="32">
        <f t="shared" si="32"/>
        <v>-54</v>
      </c>
      <c r="AN6" s="33">
        <f t="shared" si="33"/>
        <v>-18.809000000000001</v>
      </c>
      <c r="AO6" s="34" t="str">
        <f t="shared" si="34"/>
        <v>3º 54' 18,809" S</v>
      </c>
      <c r="AP6" s="34" t="str">
        <f t="shared" si="35"/>
        <v>79º 34' 29,406" W</v>
      </c>
      <c r="AQ6" s="34" t="str">
        <f t="shared" si="36"/>
        <v>17 M 658236 9568215</v>
      </c>
    </row>
    <row r="7" spans="2:43">
      <c r="B7" s="54"/>
      <c r="C7" s="54"/>
      <c r="D7" s="28"/>
      <c r="E7" s="20">
        <v>658235.69799999997</v>
      </c>
      <c r="F7" s="20">
        <v>9568214.5800000001</v>
      </c>
      <c r="G7" s="29" t="str">
        <f t="shared" si="0"/>
        <v>M</v>
      </c>
      <c r="H7" s="30" t="str">
        <f t="shared" si="1"/>
        <v>M</v>
      </c>
      <c r="I7" s="30" t="str">
        <f t="shared" si="2"/>
        <v>M</v>
      </c>
      <c r="J7" s="30" t="str">
        <f t="shared" si="3"/>
        <v>U</v>
      </c>
      <c r="K7" s="12">
        <f t="shared" si="4"/>
        <v>-6.7851835900865659E-2</v>
      </c>
      <c r="L7" s="12">
        <f t="shared" si="5"/>
        <v>6375683.8447701288</v>
      </c>
      <c r="M7" s="12">
        <f t="shared" si="6"/>
        <v>-6.8159028819499243E-2</v>
      </c>
      <c r="N7" s="12">
        <f t="shared" si="7"/>
        <v>-81</v>
      </c>
      <c r="O7" s="12">
        <f t="shared" si="8"/>
        <v>-431785.41999999993</v>
      </c>
      <c r="P7" s="12">
        <f t="shared" si="9"/>
        <v>2.4818623672784243E-2</v>
      </c>
      <c r="Q7" s="12">
        <f t="shared" si="10"/>
        <v>-0.135287546953408</v>
      </c>
      <c r="R7" s="12">
        <f t="shared" si="11"/>
        <v>-0.13466565570196992</v>
      </c>
      <c r="S7" s="12">
        <f t="shared" si="12"/>
        <v>-0.13549560937756966</v>
      </c>
      <c r="T7" s="12">
        <f t="shared" si="13"/>
        <v>-0.13528812095866971</v>
      </c>
      <c r="U7" s="12">
        <f t="shared" si="14"/>
        <v>-0.27016240932009206</v>
      </c>
      <c r="V7" s="12">
        <f t="shared" si="15"/>
        <v>5.0546225567071803E-3</v>
      </c>
      <c r="W7" s="12">
        <f t="shared" si="16"/>
        <v>4.2582015317955055E-5</v>
      </c>
      <c r="X7" s="12">
        <f t="shared" si="17"/>
        <v>1.6740578955036711E-7</v>
      </c>
      <c r="Y7" s="12">
        <f t="shared" si="18"/>
        <v>-429705.85468323581</v>
      </c>
      <c r="Z7" s="12">
        <f t="shared" si="19"/>
        <v>-3.261713358748094E-4</v>
      </c>
      <c r="AA7" s="12">
        <f t="shared" si="20"/>
        <v>2.0661026161856418E-6</v>
      </c>
      <c r="AB7" s="12">
        <f t="shared" si="21"/>
        <v>2.4818606580176476E-2</v>
      </c>
      <c r="AC7" s="12">
        <f t="shared" si="22"/>
        <v>-6.8178006562837012E-2</v>
      </c>
      <c r="AD7" s="12">
        <f t="shared" si="23"/>
        <v>2.4821154550170921E-2</v>
      </c>
      <c r="AE7" s="12">
        <f t="shared" si="24"/>
        <v>2.4873822697870796E-2</v>
      </c>
      <c r="AF7" s="12">
        <f t="shared" si="25"/>
        <v>-6.8156981806812608E-2</v>
      </c>
      <c r="AG7" s="24">
        <f t="shared" si="26"/>
        <v>-3.9052246870678524</v>
      </c>
      <c r="AH7" s="24">
        <f t="shared" si="27"/>
        <v>-79.574834939055293</v>
      </c>
      <c r="AI7" s="31">
        <f t="shared" si="28"/>
        <v>-79</v>
      </c>
      <c r="AJ7" s="32">
        <f t="shared" si="29"/>
        <v>-34</v>
      </c>
      <c r="AK7" s="33">
        <f t="shared" si="30"/>
        <v>-29.405999999999999</v>
      </c>
      <c r="AL7" s="31">
        <f t="shared" si="31"/>
        <v>-3</v>
      </c>
      <c r="AM7" s="32">
        <f t="shared" si="32"/>
        <v>-54</v>
      </c>
      <c r="AN7" s="33">
        <f t="shared" si="33"/>
        <v>-18.809000000000001</v>
      </c>
      <c r="AO7" s="34" t="str">
        <f t="shared" si="34"/>
        <v>3º 54' 18,809" S</v>
      </c>
      <c r="AP7" s="34" t="str">
        <f t="shared" si="35"/>
        <v>79º 34' 29,406" W</v>
      </c>
      <c r="AQ7" s="34" t="str">
        <f t="shared" si="36"/>
        <v>17 M 658236 9568215</v>
      </c>
    </row>
    <row r="8" spans="2:43">
      <c r="B8" s="54"/>
      <c r="C8" s="54"/>
      <c r="D8" s="28"/>
      <c r="E8" s="20">
        <v>658235.69799999997</v>
      </c>
      <c r="F8" s="20">
        <v>9568214.5800000001</v>
      </c>
      <c r="G8" s="29" t="str">
        <f t="shared" si="0"/>
        <v>M</v>
      </c>
      <c r="H8" s="30" t="str">
        <f t="shared" si="1"/>
        <v>M</v>
      </c>
      <c r="I8" s="30" t="str">
        <f t="shared" si="2"/>
        <v>M</v>
      </c>
      <c r="J8" s="30" t="str">
        <f t="shared" si="3"/>
        <v>U</v>
      </c>
      <c r="K8" s="12">
        <f t="shared" si="4"/>
        <v>-6.7851835900865659E-2</v>
      </c>
      <c r="L8" s="12">
        <f t="shared" si="5"/>
        <v>6375683.8447701288</v>
      </c>
      <c r="M8" s="12">
        <f t="shared" si="6"/>
        <v>-6.8159028819499243E-2</v>
      </c>
      <c r="N8" s="12">
        <f t="shared" si="7"/>
        <v>-81</v>
      </c>
      <c r="O8" s="12">
        <f t="shared" si="8"/>
        <v>-431785.41999999993</v>
      </c>
      <c r="P8" s="12">
        <f t="shared" si="9"/>
        <v>2.4818623672784243E-2</v>
      </c>
      <c r="Q8" s="12">
        <f t="shared" si="10"/>
        <v>-0.135287546953408</v>
      </c>
      <c r="R8" s="12">
        <f t="shared" si="11"/>
        <v>-0.13466565570196992</v>
      </c>
      <c r="S8" s="12">
        <f t="shared" si="12"/>
        <v>-0.13549560937756966</v>
      </c>
      <c r="T8" s="12">
        <f t="shared" si="13"/>
        <v>-0.13528812095866971</v>
      </c>
      <c r="U8" s="12">
        <f t="shared" si="14"/>
        <v>-0.27016240932009206</v>
      </c>
      <c r="V8" s="12">
        <f t="shared" si="15"/>
        <v>5.0546225567071803E-3</v>
      </c>
      <c r="W8" s="12">
        <f t="shared" si="16"/>
        <v>4.2582015317955055E-5</v>
      </c>
      <c r="X8" s="12">
        <f t="shared" si="17"/>
        <v>1.6740578955036711E-7</v>
      </c>
      <c r="Y8" s="12">
        <f t="shared" si="18"/>
        <v>-429705.85468323581</v>
      </c>
      <c r="Z8" s="12">
        <f t="shared" si="19"/>
        <v>-3.261713358748094E-4</v>
      </c>
      <c r="AA8" s="12">
        <f t="shared" si="20"/>
        <v>2.0661026161856418E-6</v>
      </c>
      <c r="AB8" s="12">
        <f t="shared" si="21"/>
        <v>2.4818606580176476E-2</v>
      </c>
      <c r="AC8" s="12">
        <f t="shared" si="22"/>
        <v>-6.8178006562837012E-2</v>
      </c>
      <c r="AD8" s="12">
        <f t="shared" si="23"/>
        <v>2.4821154550170921E-2</v>
      </c>
      <c r="AE8" s="12">
        <f t="shared" si="24"/>
        <v>2.4873822697870796E-2</v>
      </c>
      <c r="AF8" s="12">
        <f t="shared" si="25"/>
        <v>-6.8156981806812608E-2</v>
      </c>
      <c r="AG8" s="24">
        <f t="shared" si="26"/>
        <v>-3.9052246870678524</v>
      </c>
      <c r="AH8" s="24">
        <f t="shared" si="27"/>
        <v>-79.574834939055293</v>
      </c>
      <c r="AI8" s="31">
        <f t="shared" si="28"/>
        <v>-79</v>
      </c>
      <c r="AJ8" s="32">
        <f t="shared" si="29"/>
        <v>-34</v>
      </c>
      <c r="AK8" s="33">
        <f t="shared" si="30"/>
        <v>-29.405999999999999</v>
      </c>
      <c r="AL8" s="31">
        <f t="shared" si="31"/>
        <v>-3</v>
      </c>
      <c r="AM8" s="32">
        <f t="shared" si="32"/>
        <v>-54</v>
      </c>
      <c r="AN8" s="33">
        <f t="shared" si="33"/>
        <v>-18.809000000000001</v>
      </c>
      <c r="AO8" s="34" t="str">
        <f t="shared" si="34"/>
        <v>3º 54' 18,809" S</v>
      </c>
      <c r="AP8" s="34" t="str">
        <f t="shared" si="35"/>
        <v>79º 34' 29,406" W</v>
      </c>
      <c r="AQ8" s="34" t="str">
        <f t="shared" si="36"/>
        <v>17 M 658236 9568215</v>
      </c>
    </row>
    <row r="9" spans="2:43">
      <c r="B9" s="54"/>
      <c r="C9" s="54"/>
      <c r="D9" s="28"/>
      <c r="E9" s="20">
        <v>658235.69799999997</v>
      </c>
      <c r="F9" s="20">
        <v>9568214.5800000001</v>
      </c>
      <c r="G9" s="29" t="str">
        <f t="shared" si="0"/>
        <v>M</v>
      </c>
      <c r="H9" s="30" t="str">
        <f t="shared" si="1"/>
        <v>M</v>
      </c>
      <c r="I9" s="30" t="str">
        <f t="shared" si="2"/>
        <v>M</v>
      </c>
      <c r="J9" s="30" t="str">
        <f t="shared" si="3"/>
        <v>U</v>
      </c>
      <c r="K9" s="12">
        <f t="shared" si="4"/>
        <v>-6.7851835900865659E-2</v>
      </c>
      <c r="L9" s="12">
        <f t="shared" si="5"/>
        <v>6375683.8447701288</v>
      </c>
      <c r="M9" s="12">
        <f t="shared" si="6"/>
        <v>-6.8159028819499243E-2</v>
      </c>
      <c r="N9" s="12">
        <f t="shared" si="7"/>
        <v>-81</v>
      </c>
      <c r="O9" s="12">
        <f t="shared" si="8"/>
        <v>-431785.41999999993</v>
      </c>
      <c r="P9" s="12">
        <f t="shared" si="9"/>
        <v>2.4818623672784243E-2</v>
      </c>
      <c r="Q9" s="12">
        <f t="shared" si="10"/>
        <v>-0.135287546953408</v>
      </c>
      <c r="R9" s="12">
        <f t="shared" si="11"/>
        <v>-0.13466565570196992</v>
      </c>
      <c r="S9" s="12">
        <f t="shared" si="12"/>
        <v>-0.13549560937756966</v>
      </c>
      <c r="T9" s="12">
        <f t="shared" si="13"/>
        <v>-0.13528812095866971</v>
      </c>
      <c r="U9" s="12">
        <f t="shared" si="14"/>
        <v>-0.27016240932009206</v>
      </c>
      <c r="V9" s="12">
        <f t="shared" si="15"/>
        <v>5.0546225567071803E-3</v>
      </c>
      <c r="W9" s="12">
        <f t="shared" si="16"/>
        <v>4.2582015317955055E-5</v>
      </c>
      <c r="X9" s="12">
        <f t="shared" si="17"/>
        <v>1.6740578955036711E-7</v>
      </c>
      <c r="Y9" s="12">
        <f t="shared" si="18"/>
        <v>-429705.85468323581</v>
      </c>
      <c r="Z9" s="12">
        <f t="shared" si="19"/>
        <v>-3.261713358748094E-4</v>
      </c>
      <c r="AA9" s="12">
        <f t="shared" si="20"/>
        <v>2.0661026161856418E-6</v>
      </c>
      <c r="AB9" s="12">
        <f t="shared" si="21"/>
        <v>2.4818606580176476E-2</v>
      </c>
      <c r="AC9" s="12">
        <f t="shared" si="22"/>
        <v>-6.8178006562837012E-2</v>
      </c>
      <c r="AD9" s="12">
        <f t="shared" si="23"/>
        <v>2.4821154550170921E-2</v>
      </c>
      <c r="AE9" s="12">
        <f t="shared" si="24"/>
        <v>2.4873822697870796E-2</v>
      </c>
      <c r="AF9" s="12">
        <f t="shared" si="25"/>
        <v>-6.8156981806812608E-2</v>
      </c>
      <c r="AG9" s="24">
        <f t="shared" si="26"/>
        <v>-3.9052246870678524</v>
      </c>
      <c r="AH9" s="24">
        <f t="shared" si="27"/>
        <v>-79.574834939055293</v>
      </c>
      <c r="AI9" s="31">
        <f t="shared" si="28"/>
        <v>-79</v>
      </c>
      <c r="AJ9" s="32">
        <f t="shared" si="29"/>
        <v>-34</v>
      </c>
      <c r="AK9" s="33">
        <f t="shared" si="30"/>
        <v>-29.405999999999999</v>
      </c>
      <c r="AL9" s="31">
        <f t="shared" si="31"/>
        <v>-3</v>
      </c>
      <c r="AM9" s="32">
        <f t="shared" si="32"/>
        <v>-54</v>
      </c>
      <c r="AN9" s="33">
        <f t="shared" si="33"/>
        <v>-18.809000000000001</v>
      </c>
      <c r="AO9" s="34" t="str">
        <f t="shared" si="34"/>
        <v>3º 54' 18,809" S</v>
      </c>
      <c r="AP9" s="34" t="str">
        <f t="shared" si="35"/>
        <v>79º 34' 29,406" W</v>
      </c>
      <c r="AQ9" s="34" t="str">
        <f t="shared" si="36"/>
        <v>17 M 658236 9568215</v>
      </c>
    </row>
    <row r="10" spans="2:43">
      <c r="B10" s="54"/>
      <c r="C10" s="54"/>
      <c r="D10" s="28"/>
      <c r="E10" s="20">
        <v>658235.69799999997</v>
      </c>
      <c r="F10" s="20">
        <v>9568214.5800000001</v>
      </c>
      <c r="G10" s="29" t="str">
        <f t="shared" si="0"/>
        <v>M</v>
      </c>
      <c r="H10" s="30" t="str">
        <f t="shared" si="1"/>
        <v>M</v>
      </c>
      <c r="I10" s="30" t="str">
        <f t="shared" si="2"/>
        <v>M</v>
      </c>
      <c r="J10" s="30" t="str">
        <f t="shared" si="3"/>
        <v>U</v>
      </c>
      <c r="K10" s="12">
        <f t="shared" si="4"/>
        <v>-6.7851835900865659E-2</v>
      </c>
      <c r="L10" s="12">
        <f t="shared" si="5"/>
        <v>6375683.8447701288</v>
      </c>
      <c r="M10" s="12">
        <f t="shared" si="6"/>
        <v>-6.8159028819499243E-2</v>
      </c>
      <c r="N10" s="12">
        <f t="shared" si="7"/>
        <v>-81</v>
      </c>
      <c r="O10" s="12">
        <f t="shared" si="8"/>
        <v>-431785.41999999993</v>
      </c>
      <c r="P10" s="12">
        <f t="shared" si="9"/>
        <v>2.4818623672784243E-2</v>
      </c>
      <c r="Q10" s="12">
        <f t="shared" si="10"/>
        <v>-0.135287546953408</v>
      </c>
      <c r="R10" s="12">
        <f t="shared" si="11"/>
        <v>-0.13466565570196992</v>
      </c>
      <c r="S10" s="12">
        <f t="shared" si="12"/>
        <v>-0.13549560937756966</v>
      </c>
      <c r="T10" s="12">
        <f t="shared" si="13"/>
        <v>-0.13528812095866971</v>
      </c>
      <c r="U10" s="12">
        <f t="shared" si="14"/>
        <v>-0.27016240932009206</v>
      </c>
      <c r="V10" s="12">
        <f t="shared" si="15"/>
        <v>5.0546225567071803E-3</v>
      </c>
      <c r="W10" s="12">
        <f t="shared" si="16"/>
        <v>4.2582015317955055E-5</v>
      </c>
      <c r="X10" s="12">
        <f t="shared" si="17"/>
        <v>1.6740578955036711E-7</v>
      </c>
      <c r="Y10" s="12">
        <f t="shared" si="18"/>
        <v>-429705.85468323581</v>
      </c>
      <c r="Z10" s="12">
        <f t="shared" si="19"/>
        <v>-3.261713358748094E-4</v>
      </c>
      <c r="AA10" s="12">
        <f t="shared" si="20"/>
        <v>2.0661026161856418E-6</v>
      </c>
      <c r="AB10" s="12">
        <f t="shared" si="21"/>
        <v>2.4818606580176476E-2</v>
      </c>
      <c r="AC10" s="12">
        <f t="shared" si="22"/>
        <v>-6.8178006562837012E-2</v>
      </c>
      <c r="AD10" s="12">
        <f t="shared" si="23"/>
        <v>2.4821154550170921E-2</v>
      </c>
      <c r="AE10" s="12">
        <f t="shared" si="24"/>
        <v>2.4873822697870796E-2</v>
      </c>
      <c r="AF10" s="12">
        <f t="shared" si="25"/>
        <v>-6.8156981806812608E-2</v>
      </c>
      <c r="AG10" s="24">
        <f t="shared" si="26"/>
        <v>-3.9052246870678524</v>
      </c>
      <c r="AH10" s="24">
        <f t="shared" si="27"/>
        <v>-79.574834939055293</v>
      </c>
      <c r="AI10" s="31">
        <f t="shared" si="28"/>
        <v>-79</v>
      </c>
      <c r="AJ10" s="32">
        <f t="shared" si="29"/>
        <v>-34</v>
      </c>
      <c r="AK10" s="33">
        <f t="shared" si="30"/>
        <v>-29.405999999999999</v>
      </c>
      <c r="AL10" s="31">
        <f t="shared" si="31"/>
        <v>-3</v>
      </c>
      <c r="AM10" s="32">
        <f t="shared" si="32"/>
        <v>-54</v>
      </c>
      <c r="AN10" s="33">
        <f t="shared" si="33"/>
        <v>-18.809000000000001</v>
      </c>
      <c r="AO10" s="34" t="str">
        <f t="shared" si="34"/>
        <v>3º 54' 18,809" S</v>
      </c>
      <c r="AP10" s="34" t="str">
        <f t="shared" si="35"/>
        <v>79º 34' 29,406" W</v>
      </c>
      <c r="AQ10" s="34" t="str">
        <f t="shared" si="36"/>
        <v>17 M 658236 9568215</v>
      </c>
    </row>
    <row r="11" spans="2:43">
      <c r="B11" s="54"/>
      <c r="C11" s="54"/>
      <c r="D11" s="28"/>
      <c r="E11" s="20">
        <v>658235.69799999997</v>
      </c>
      <c r="F11" s="20">
        <v>9568214.5800000001</v>
      </c>
      <c r="G11" s="29" t="str">
        <f t="shared" si="0"/>
        <v>M</v>
      </c>
      <c r="H11" s="30" t="str">
        <f t="shared" si="1"/>
        <v>M</v>
      </c>
      <c r="I11" s="30" t="str">
        <f t="shared" si="2"/>
        <v>M</v>
      </c>
      <c r="J11" s="30" t="str">
        <f t="shared" si="3"/>
        <v>U</v>
      </c>
      <c r="K11" s="12">
        <f t="shared" si="4"/>
        <v>-6.7851835900865659E-2</v>
      </c>
      <c r="L11" s="12">
        <f t="shared" si="5"/>
        <v>6375683.8447701288</v>
      </c>
      <c r="M11" s="12">
        <f t="shared" si="6"/>
        <v>-6.8159028819499243E-2</v>
      </c>
      <c r="N11" s="12">
        <f t="shared" si="7"/>
        <v>-81</v>
      </c>
      <c r="O11" s="12">
        <f t="shared" si="8"/>
        <v>-431785.41999999993</v>
      </c>
      <c r="P11" s="12">
        <f t="shared" si="9"/>
        <v>2.4818623672784243E-2</v>
      </c>
      <c r="Q11" s="12">
        <f t="shared" si="10"/>
        <v>-0.135287546953408</v>
      </c>
      <c r="R11" s="12">
        <f t="shared" si="11"/>
        <v>-0.13466565570196992</v>
      </c>
      <c r="S11" s="12">
        <f t="shared" si="12"/>
        <v>-0.13549560937756966</v>
      </c>
      <c r="T11" s="12">
        <f t="shared" si="13"/>
        <v>-0.13528812095866971</v>
      </c>
      <c r="U11" s="12">
        <f t="shared" si="14"/>
        <v>-0.27016240932009206</v>
      </c>
      <c r="V11" s="12">
        <f t="shared" si="15"/>
        <v>5.0546225567071803E-3</v>
      </c>
      <c r="W11" s="12">
        <f t="shared" si="16"/>
        <v>4.2582015317955055E-5</v>
      </c>
      <c r="X11" s="12">
        <f t="shared" si="17"/>
        <v>1.6740578955036711E-7</v>
      </c>
      <c r="Y11" s="12">
        <f t="shared" si="18"/>
        <v>-429705.85468323581</v>
      </c>
      <c r="Z11" s="12">
        <f t="shared" si="19"/>
        <v>-3.261713358748094E-4</v>
      </c>
      <c r="AA11" s="12">
        <f t="shared" si="20"/>
        <v>2.0661026161856418E-6</v>
      </c>
      <c r="AB11" s="12">
        <f t="shared" si="21"/>
        <v>2.4818606580176476E-2</v>
      </c>
      <c r="AC11" s="12">
        <f t="shared" si="22"/>
        <v>-6.8178006562837012E-2</v>
      </c>
      <c r="AD11" s="12">
        <f t="shared" si="23"/>
        <v>2.4821154550170921E-2</v>
      </c>
      <c r="AE11" s="12">
        <f t="shared" si="24"/>
        <v>2.4873822697870796E-2</v>
      </c>
      <c r="AF11" s="12">
        <f t="shared" si="25"/>
        <v>-6.8156981806812608E-2</v>
      </c>
      <c r="AG11" s="24">
        <f t="shared" si="26"/>
        <v>-3.9052246870678524</v>
      </c>
      <c r="AH11" s="24">
        <f t="shared" si="27"/>
        <v>-79.574834939055293</v>
      </c>
      <c r="AI11" s="31">
        <f t="shared" si="28"/>
        <v>-79</v>
      </c>
      <c r="AJ11" s="32">
        <f t="shared" si="29"/>
        <v>-34</v>
      </c>
      <c r="AK11" s="33">
        <f t="shared" si="30"/>
        <v>-29.405999999999999</v>
      </c>
      <c r="AL11" s="31">
        <f t="shared" si="31"/>
        <v>-3</v>
      </c>
      <c r="AM11" s="32">
        <f t="shared" si="32"/>
        <v>-54</v>
      </c>
      <c r="AN11" s="33">
        <f t="shared" si="33"/>
        <v>-18.809000000000001</v>
      </c>
      <c r="AO11" s="34" t="str">
        <f t="shared" si="34"/>
        <v>3º 54' 18,809" S</v>
      </c>
      <c r="AP11" s="34" t="str">
        <f t="shared" si="35"/>
        <v>79º 34' 29,406" W</v>
      </c>
      <c r="AQ11" s="34" t="str">
        <f t="shared" si="36"/>
        <v>17 M 658236 9568215</v>
      </c>
    </row>
    <row r="12" spans="2:43">
      <c r="B12" s="54"/>
      <c r="C12" s="54"/>
      <c r="D12" s="28"/>
      <c r="E12" s="20">
        <v>658235.69799999997</v>
      </c>
      <c r="F12" s="20">
        <v>9568214.5800000001</v>
      </c>
      <c r="G12" s="29" t="str">
        <f t="shared" si="0"/>
        <v>M</v>
      </c>
      <c r="H12" s="30" t="str">
        <f t="shared" si="1"/>
        <v>M</v>
      </c>
      <c r="I12" s="30" t="str">
        <f t="shared" si="2"/>
        <v>M</v>
      </c>
      <c r="J12" s="30" t="str">
        <f t="shared" si="3"/>
        <v>U</v>
      </c>
      <c r="K12" s="12">
        <f t="shared" si="4"/>
        <v>-6.7851835900865659E-2</v>
      </c>
      <c r="L12" s="12">
        <f t="shared" si="5"/>
        <v>6375683.8447701288</v>
      </c>
      <c r="M12" s="12">
        <f t="shared" si="6"/>
        <v>-6.8159028819499243E-2</v>
      </c>
      <c r="N12" s="12">
        <f t="shared" si="7"/>
        <v>-81</v>
      </c>
      <c r="O12" s="12">
        <f t="shared" si="8"/>
        <v>-431785.41999999993</v>
      </c>
      <c r="P12" s="12">
        <f t="shared" si="9"/>
        <v>2.4818623672784243E-2</v>
      </c>
      <c r="Q12" s="12">
        <f t="shared" si="10"/>
        <v>-0.135287546953408</v>
      </c>
      <c r="R12" s="12">
        <f t="shared" si="11"/>
        <v>-0.13466565570196992</v>
      </c>
      <c r="S12" s="12">
        <f t="shared" si="12"/>
        <v>-0.13549560937756966</v>
      </c>
      <c r="T12" s="12">
        <f t="shared" si="13"/>
        <v>-0.13528812095866971</v>
      </c>
      <c r="U12" s="12">
        <f t="shared" si="14"/>
        <v>-0.27016240932009206</v>
      </c>
      <c r="V12" s="12">
        <f t="shared" si="15"/>
        <v>5.0546225567071803E-3</v>
      </c>
      <c r="W12" s="12">
        <f t="shared" si="16"/>
        <v>4.2582015317955055E-5</v>
      </c>
      <c r="X12" s="12">
        <f t="shared" si="17"/>
        <v>1.6740578955036711E-7</v>
      </c>
      <c r="Y12" s="12">
        <f t="shared" si="18"/>
        <v>-429705.85468323581</v>
      </c>
      <c r="Z12" s="12">
        <f t="shared" si="19"/>
        <v>-3.261713358748094E-4</v>
      </c>
      <c r="AA12" s="12">
        <f t="shared" si="20"/>
        <v>2.0661026161856418E-6</v>
      </c>
      <c r="AB12" s="12">
        <f t="shared" si="21"/>
        <v>2.4818606580176476E-2</v>
      </c>
      <c r="AC12" s="12">
        <f t="shared" si="22"/>
        <v>-6.8178006562837012E-2</v>
      </c>
      <c r="AD12" s="12">
        <f t="shared" si="23"/>
        <v>2.4821154550170921E-2</v>
      </c>
      <c r="AE12" s="12">
        <f t="shared" si="24"/>
        <v>2.4873822697870796E-2</v>
      </c>
      <c r="AF12" s="12">
        <f t="shared" si="25"/>
        <v>-6.8156981806812608E-2</v>
      </c>
      <c r="AG12" s="24">
        <f t="shared" si="26"/>
        <v>-3.9052246870678524</v>
      </c>
      <c r="AH12" s="24">
        <f t="shared" si="27"/>
        <v>-79.574834939055293</v>
      </c>
      <c r="AI12" s="31">
        <f t="shared" si="28"/>
        <v>-79</v>
      </c>
      <c r="AJ12" s="32">
        <f t="shared" si="29"/>
        <v>-34</v>
      </c>
      <c r="AK12" s="33">
        <f t="shared" si="30"/>
        <v>-29.405999999999999</v>
      </c>
      <c r="AL12" s="31">
        <f t="shared" si="31"/>
        <v>-3</v>
      </c>
      <c r="AM12" s="32">
        <f t="shared" si="32"/>
        <v>-54</v>
      </c>
      <c r="AN12" s="33">
        <f t="shared" si="33"/>
        <v>-18.809000000000001</v>
      </c>
      <c r="AO12" s="34" t="str">
        <f t="shared" si="34"/>
        <v>3º 54' 18,809" S</v>
      </c>
      <c r="AP12" s="34" t="str">
        <f t="shared" si="35"/>
        <v>79º 34' 29,406" W</v>
      </c>
      <c r="AQ12" s="34" t="str">
        <f t="shared" si="36"/>
        <v>17 M 658236 9568215</v>
      </c>
    </row>
    <row r="13" spans="2:43">
      <c r="B13" s="54"/>
      <c r="C13" s="54"/>
      <c r="D13" s="28"/>
      <c r="E13" s="20">
        <v>658235.69799999997</v>
      </c>
      <c r="F13" s="20">
        <v>9568214.5800000001</v>
      </c>
      <c r="G13" s="29" t="str">
        <f t="shared" si="0"/>
        <v>M</v>
      </c>
      <c r="H13" s="30" t="str">
        <f t="shared" si="1"/>
        <v>M</v>
      </c>
      <c r="I13" s="30" t="str">
        <f t="shared" si="2"/>
        <v>M</v>
      </c>
      <c r="J13" s="30" t="str">
        <f t="shared" si="3"/>
        <v>U</v>
      </c>
      <c r="K13" s="12">
        <f t="shared" ref="K13:K23" si="37">(O13)/(6366197.724*0.9996)</f>
        <v>-6.7851835900865659E-2</v>
      </c>
      <c r="L13" s="12">
        <f t="shared" si="5"/>
        <v>6375683.8447701288</v>
      </c>
      <c r="M13" s="12">
        <f t="shared" si="6"/>
        <v>-6.8159028819499243E-2</v>
      </c>
      <c r="N13" s="12">
        <f t="shared" si="7"/>
        <v>-81</v>
      </c>
      <c r="O13" s="12">
        <f t="shared" si="8"/>
        <v>-431785.41999999993</v>
      </c>
      <c r="P13" s="12">
        <f t="shared" si="9"/>
        <v>2.4818623672784243E-2</v>
      </c>
      <c r="Q13" s="12">
        <f t="shared" ref="Q13:Q23" si="38">SIN(2*K13)</f>
        <v>-0.135287546953408</v>
      </c>
      <c r="R13" s="12">
        <f t="shared" ref="R13:R23" si="39">Q13*(COS(K13))^2</f>
        <v>-0.13466565570196992</v>
      </c>
      <c r="S13" s="12">
        <f t="shared" ref="S13:S23" si="40">K13+(Q13/2)</f>
        <v>-0.13549560937756966</v>
      </c>
      <c r="T13" s="12">
        <f t="shared" ref="T13:T23" si="41">(3*S13+R13)/4</f>
        <v>-0.13528812095866971</v>
      </c>
      <c r="U13" s="12">
        <f t="shared" ref="U13:U23" si="42">(5*T13+R13*(COS(K13))^2)/3</f>
        <v>-0.27016240932009206</v>
      </c>
      <c r="V13" s="12">
        <f t="shared" si="15"/>
        <v>5.0546225567071803E-3</v>
      </c>
      <c r="W13" s="12">
        <f t="shared" ref="W13:W23" si="43">(5/3)*(V13)^2</f>
        <v>4.2582015317955055E-5</v>
      </c>
      <c r="X13" s="12">
        <f t="shared" ref="X13:X23" si="44">(35/27)*(V13)^3</f>
        <v>1.6740578955036711E-7</v>
      </c>
      <c r="Y13" s="12">
        <f t="shared" si="18"/>
        <v>-429705.85468323581</v>
      </c>
      <c r="Z13" s="12">
        <f t="shared" ref="Z13:Z23" si="45">(O13-Y13)/L13</f>
        <v>-3.261713358748094E-4</v>
      </c>
      <c r="AA13" s="12">
        <f t="shared" si="20"/>
        <v>2.0661026161856418E-6</v>
      </c>
      <c r="AB13" s="12">
        <f t="shared" ref="AB13:AB23" si="46">P13*(1-(AA13/3))</f>
        <v>2.4818606580176476E-2</v>
      </c>
      <c r="AC13" s="12">
        <f t="shared" ref="AC13:AC23" si="47">Z13*(1-AA13)+K13</f>
        <v>-6.8178006562837012E-2</v>
      </c>
      <c r="AD13" s="12">
        <f t="shared" ref="AD13:AD23" si="48">(EXP(AB13)-EXP(-AB13))/2</f>
        <v>2.4821154550170921E-2</v>
      </c>
      <c r="AE13" s="12">
        <f t="shared" ref="AE13:AE23" si="49">ATAN(AD13/COS(AC13))</f>
        <v>2.4873822697870796E-2</v>
      </c>
      <c r="AF13" s="12">
        <f t="shared" ref="AF13:AF23" si="50">ATAN(COS(AE13)*TAN(AC13))</f>
        <v>-6.8156981806812608E-2</v>
      </c>
      <c r="AG13" s="24">
        <f t="shared" si="26"/>
        <v>-3.9052246870678524</v>
      </c>
      <c r="AH13" s="24">
        <f t="shared" si="27"/>
        <v>-79.574834939055293</v>
      </c>
      <c r="AI13" s="31">
        <f t="shared" si="28"/>
        <v>-79</v>
      </c>
      <c r="AJ13" s="32">
        <f t="shared" si="29"/>
        <v>-34</v>
      </c>
      <c r="AK13" s="33">
        <f t="shared" si="30"/>
        <v>-29.405999999999999</v>
      </c>
      <c r="AL13" s="31">
        <f t="shared" si="31"/>
        <v>-3</v>
      </c>
      <c r="AM13" s="32">
        <f t="shared" si="32"/>
        <v>-54</v>
      </c>
      <c r="AN13" s="33">
        <f t="shared" si="33"/>
        <v>-18.809000000000001</v>
      </c>
      <c r="AO13" s="34" t="str">
        <f t="shared" ref="AO13:AO23" si="51">CONCATENATE(-AL13,"º ",-AM13,"' ",-AN13,""" S")</f>
        <v>3º 54' 18,809" S</v>
      </c>
      <c r="AP13" s="34" t="str">
        <f t="shared" ref="AP13:AP23" si="52">CONCATENATE(-AI13,"º ",-AJ13,"' ",-AK13,""" W")</f>
        <v>79º 34' 29,406" W</v>
      </c>
      <c r="AQ13" s="34" t="str">
        <f t="shared" si="36"/>
        <v>17 M 658236 9568215</v>
      </c>
    </row>
    <row r="14" spans="2:43">
      <c r="B14" s="54"/>
      <c r="C14" s="54"/>
      <c r="D14" s="28"/>
      <c r="E14" s="20">
        <v>658235.69799999997</v>
      </c>
      <c r="F14" s="20">
        <v>9568214.5800000001</v>
      </c>
      <c r="G14" s="29" t="str">
        <f t="shared" si="0"/>
        <v>M</v>
      </c>
      <c r="H14" s="30" t="str">
        <f t="shared" si="1"/>
        <v>M</v>
      </c>
      <c r="I14" s="30" t="str">
        <f t="shared" si="2"/>
        <v>M</v>
      </c>
      <c r="J14" s="30" t="str">
        <f t="shared" si="3"/>
        <v>U</v>
      </c>
      <c r="K14" s="12">
        <f t="shared" si="37"/>
        <v>-6.7851835900865659E-2</v>
      </c>
      <c r="L14" s="12">
        <f t="shared" si="5"/>
        <v>6375683.8447701288</v>
      </c>
      <c r="M14" s="12">
        <f t="shared" si="6"/>
        <v>-6.8159028819499243E-2</v>
      </c>
      <c r="N14" s="12">
        <f t="shared" si="7"/>
        <v>-81</v>
      </c>
      <c r="O14" s="12">
        <f t="shared" si="8"/>
        <v>-431785.41999999993</v>
      </c>
      <c r="P14" s="12">
        <f t="shared" si="9"/>
        <v>2.4818623672784243E-2</v>
      </c>
      <c r="Q14" s="12">
        <f t="shared" si="38"/>
        <v>-0.135287546953408</v>
      </c>
      <c r="R14" s="12">
        <f t="shared" si="39"/>
        <v>-0.13466565570196992</v>
      </c>
      <c r="S14" s="12">
        <f t="shared" si="40"/>
        <v>-0.13549560937756966</v>
      </c>
      <c r="T14" s="12">
        <f t="shared" si="41"/>
        <v>-0.13528812095866971</v>
      </c>
      <c r="U14" s="12">
        <f t="shared" si="42"/>
        <v>-0.27016240932009206</v>
      </c>
      <c r="V14" s="12">
        <f t="shared" si="15"/>
        <v>5.0546225567071803E-3</v>
      </c>
      <c r="W14" s="12">
        <f t="shared" si="43"/>
        <v>4.2582015317955055E-5</v>
      </c>
      <c r="X14" s="12">
        <f t="shared" si="44"/>
        <v>1.6740578955036711E-7</v>
      </c>
      <c r="Y14" s="12">
        <f t="shared" si="18"/>
        <v>-429705.85468323581</v>
      </c>
      <c r="Z14" s="12">
        <f t="shared" si="45"/>
        <v>-3.261713358748094E-4</v>
      </c>
      <c r="AA14" s="12">
        <f t="shared" si="20"/>
        <v>2.0661026161856418E-6</v>
      </c>
      <c r="AB14" s="12">
        <f t="shared" si="46"/>
        <v>2.4818606580176476E-2</v>
      </c>
      <c r="AC14" s="12">
        <f t="shared" si="47"/>
        <v>-6.8178006562837012E-2</v>
      </c>
      <c r="AD14" s="12">
        <f t="shared" si="48"/>
        <v>2.4821154550170921E-2</v>
      </c>
      <c r="AE14" s="12">
        <f t="shared" si="49"/>
        <v>2.4873822697870796E-2</v>
      </c>
      <c r="AF14" s="12">
        <f t="shared" si="50"/>
        <v>-6.8156981806812608E-2</v>
      </c>
      <c r="AG14" s="24">
        <f t="shared" si="26"/>
        <v>-3.9052246870678524</v>
      </c>
      <c r="AH14" s="24">
        <f t="shared" si="27"/>
        <v>-79.574834939055293</v>
      </c>
      <c r="AI14" s="31">
        <f t="shared" si="28"/>
        <v>-79</v>
      </c>
      <c r="AJ14" s="32">
        <f t="shared" si="29"/>
        <v>-34</v>
      </c>
      <c r="AK14" s="33">
        <f t="shared" si="30"/>
        <v>-29.405999999999999</v>
      </c>
      <c r="AL14" s="31">
        <f t="shared" si="31"/>
        <v>-3</v>
      </c>
      <c r="AM14" s="32">
        <f t="shared" si="32"/>
        <v>-54</v>
      </c>
      <c r="AN14" s="33">
        <f t="shared" si="33"/>
        <v>-18.809000000000001</v>
      </c>
      <c r="AO14" s="34" t="str">
        <f t="shared" si="51"/>
        <v>3º 54' 18,809" S</v>
      </c>
      <c r="AP14" s="34" t="str">
        <f t="shared" si="52"/>
        <v>79º 34' 29,406" W</v>
      </c>
      <c r="AQ14" s="34" t="str">
        <f t="shared" si="36"/>
        <v>17 M 658236 9568215</v>
      </c>
    </row>
    <row r="15" spans="2:43">
      <c r="B15" s="56" t="s">
        <v>36</v>
      </c>
      <c r="C15" s="56"/>
      <c r="D15" s="28"/>
      <c r="E15" s="20">
        <v>658235.69799999997</v>
      </c>
      <c r="F15" s="20">
        <v>9568214.5800000001</v>
      </c>
      <c r="G15" s="29" t="str">
        <f t="shared" si="0"/>
        <v>M</v>
      </c>
      <c r="H15" s="30" t="str">
        <f t="shared" si="1"/>
        <v>M</v>
      </c>
      <c r="I15" s="30" t="str">
        <f t="shared" si="2"/>
        <v>M</v>
      </c>
      <c r="J15" s="30" t="str">
        <f t="shared" si="3"/>
        <v>U</v>
      </c>
      <c r="K15" s="12">
        <f t="shared" si="37"/>
        <v>-6.7851835900865659E-2</v>
      </c>
      <c r="L15" s="12">
        <f t="shared" si="5"/>
        <v>6375683.8447701288</v>
      </c>
      <c r="M15" s="12">
        <f t="shared" si="6"/>
        <v>-6.8159028819499243E-2</v>
      </c>
      <c r="N15" s="12">
        <f t="shared" si="7"/>
        <v>-81</v>
      </c>
      <c r="O15" s="12">
        <f t="shared" si="8"/>
        <v>-431785.41999999993</v>
      </c>
      <c r="P15" s="12">
        <f t="shared" si="9"/>
        <v>2.4818623672784243E-2</v>
      </c>
      <c r="Q15" s="12">
        <f t="shared" si="38"/>
        <v>-0.135287546953408</v>
      </c>
      <c r="R15" s="12">
        <f t="shared" si="39"/>
        <v>-0.13466565570196992</v>
      </c>
      <c r="S15" s="12">
        <f t="shared" si="40"/>
        <v>-0.13549560937756966</v>
      </c>
      <c r="T15" s="12">
        <f t="shared" si="41"/>
        <v>-0.13528812095866971</v>
      </c>
      <c r="U15" s="12">
        <f t="shared" si="42"/>
        <v>-0.27016240932009206</v>
      </c>
      <c r="V15" s="12">
        <f t="shared" si="15"/>
        <v>5.0546225567071803E-3</v>
      </c>
      <c r="W15" s="12">
        <f t="shared" si="43"/>
        <v>4.2582015317955055E-5</v>
      </c>
      <c r="X15" s="12">
        <f t="shared" si="44"/>
        <v>1.6740578955036711E-7</v>
      </c>
      <c r="Y15" s="12">
        <f t="shared" si="18"/>
        <v>-429705.85468323581</v>
      </c>
      <c r="Z15" s="12">
        <f t="shared" si="45"/>
        <v>-3.261713358748094E-4</v>
      </c>
      <c r="AA15" s="12">
        <f t="shared" si="20"/>
        <v>2.0661026161856418E-6</v>
      </c>
      <c r="AB15" s="12">
        <f t="shared" si="46"/>
        <v>2.4818606580176476E-2</v>
      </c>
      <c r="AC15" s="12">
        <f t="shared" si="47"/>
        <v>-6.8178006562837012E-2</v>
      </c>
      <c r="AD15" s="12">
        <f t="shared" si="48"/>
        <v>2.4821154550170921E-2</v>
      </c>
      <c r="AE15" s="12">
        <f t="shared" si="49"/>
        <v>2.4873822697870796E-2</v>
      </c>
      <c r="AF15" s="12">
        <f t="shared" si="50"/>
        <v>-6.8156981806812608E-2</v>
      </c>
      <c r="AG15" s="24">
        <f t="shared" si="26"/>
        <v>-3.9052246870678524</v>
      </c>
      <c r="AH15" s="24">
        <f t="shared" si="27"/>
        <v>-79.574834939055293</v>
      </c>
      <c r="AI15" s="31">
        <f t="shared" si="28"/>
        <v>-79</v>
      </c>
      <c r="AJ15" s="32">
        <f t="shared" si="29"/>
        <v>-34</v>
      </c>
      <c r="AK15" s="33">
        <f t="shared" si="30"/>
        <v>-29.405999999999999</v>
      </c>
      <c r="AL15" s="31">
        <f t="shared" si="31"/>
        <v>-3</v>
      </c>
      <c r="AM15" s="32">
        <f t="shared" si="32"/>
        <v>-54</v>
      </c>
      <c r="AN15" s="33">
        <f t="shared" si="33"/>
        <v>-18.809000000000001</v>
      </c>
      <c r="AO15" s="34" t="str">
        <f t="shared" si="51"/>
        <v>3º 54' 18,809" S</v>
      </c>
      <c r="AP15" s="34" t="str">
        <f t="shared" si="52"/>
        <v>79º 34' 29,406" W</v>
      </c>
      <c r="AQ15" s="34" t="str">
        <f t="shared" si="36"/>
        <v>17 M 658236 9568215</v>
      </c>
    </row>
    <row r="16" spans="2:43">
      <c r="B16" s="55" t="s">
        <v>37</v>
      </c>
      <c r="C16" s="53">
        <v>6378137</v>
      </c>
      <c r="D16" s="28"/>
      <c r="E16" s="20">
        <v>658235.69799999997</v>
      </c>
      <c r="F16" s="20">
        <v>9568214.5800000001</v>
      </c>
      <c r="G16" s="29" t="str">
        <f t="shared" si="0"/>
        <v>M</v>
      </c>
      <c r="H16" s="30" t="str">
        <f t="shared" si="1"/>
        <v>M</v>
      </c>
      <c r="I16" s="30" t="str">
        <f t="shared" si="2"/>
        <v>M</v>
      </c>
      <c r="J16" s="30" t="str">
        <f t="shared" si="3"/>
        <v>U</v>
      </c>
      <c r="K16" s="12">
        <f t="shared" si="37"/>
        <v>-6.7851835900865659E-2</v>
      </c>
      <c r="L16" s="12">
        <f t="shared" si="5"/>
        <v>6375683.8447701288</v>
      </c>
      <c r="M16" s="12">
        <f t="shared" si="6"/>
        <v>-6.8159028819499243E-2</v>
      </c>
      <c r="N16" s="12">
        <f t="shared" si="7"/>
        <v>-81</v>
      </c>
      <c r="O16" s="12">
        <f t="shared" si="8"/>
        <v>-431785.41999999993</v>
      </c>
      <c r="P16" s="12">
        <f t="shared" si="9"/>
        <v>2.4818623672784243E-2</v>
      </c>
      <c r="Q16" s="12">
        <f t="shared" si="38"/>
        <v>-0.135287546953408</v>
      </c>
      <c r="R16" s="12">
        <f t="shared" si="39"/>
        <v>-0.13466565570196992</v>
      </c>
      <c r="S16" s="12">
        <f t="shared" si="40"/>
        <v>-0.13549560937756966</v>
      </c>
      <c r="T16" s="12">
        <f t="shared" si="41"/>
        <v>-0.13528812095866971</v>
      </c>
      <c r="U16" s="12">
        <f t="shared" si="42"/>
        <v>-0.27016240932009206</v>
      </c>
      <c r="V16" s="12">
        <f t="shared" si="15"/>
        <v>5.0546225567071803E-3</v>
      </c>
      <c r="W16" s="12">
        <f t="shared" si="43"/>
        <v>4.2582015317955055E-5</v>
      </c>
      <c r="X16" s="12">
        <f t="shared" si="44"/>
        <v>1.6740578955036711E-7</v>
      </c>
      <c r="Y16" s="12">
        <f t="shared" si="18"/>
        <v>-429705.85468323581</v>
      </c>
      <c r="Z16" s="12">
        <f t="shared" si="45"/>
        <v>-3.261713358748094E-4</v>
      </c>
      <c r="AA16" s="12">
        <f t="shared" si="20"/>
        <v>2.0661026161856418E-6</v>
      </c>
      <c r="AB16" s="12">
        <f t="shared" si="46"/>
        <v>2.4818606580176476E-2</v>
      </c>
      <c r="AC16" s="12">
        <f t="shared" si="47"/>
        <v>-6.8178006562837012E-2</v>
      </c>
      <c r="AD16" s="12">
        <f t="shared" si="48"/>
        <v>2.4821154550170921E-2</v>
      </c>
      <c r="AE16" s="12">
        <f t="shared" si="49"/>
        <v>2.4873822697870796E-2</v>
      </c>
      <c r="AF16" s="12">
        <f t="shared" si="50"/>
        <v>-6.8156981806812608E-2</v>
      </c>
      <c r="AG16" s="24">
        <f t="shared" si="26"/>
        <v>-3.9052246870678524</v>
      </c>
      <c r="AH16" s="24">
        <f t="shared" si="27"/>
        <v>-79.574834939055293</v>
      </c>
      <c r="AI16" s="31">
        <f t="shared" si="28"/>
        <v>-79</v>
      </c>
      <c r="AJ16" s="32">
        <f t="shared" si="29"/>
        <v>-34</v>
      </c>
      <c r="AK16" s="33">
        <f t="shared" si="30"/>
        <v>-29.405999999999999</v>
      </c>
      <c r="AL16" s="31">
        <f t="shared" si="31"/>
        <v>-3</v>
      </c>
      <c r="AM16" s="32">
        <f t="shared" si="32"/>
        <v>-54</v>
      </c>
      <c r="AN16" s="33">
        <f t="shared" si="33"/>
        <v>-18.809000000000001</v>
      </c>
      <c r="AO16" s="34" t="str">
        <f t="shared" si="51"/>
        <v>3º 54' 18,809" S</v>
      </c>
      <c r="AP16" s="34" t="str">
        <f t="shared" si="52"/>
        <v>79º 34' 29,406" W</v>
      </c>
      <c r="AQ16" s="34" t="str">
        <f t="shared" si="36"/>
        <v>17 M 658236 9568215</v>
      </c>
    </row>
    <row r="17" spans="1:43">
      <c r="A17" s="54"/>
      <c r="B17" s="55" t="s">
        <v>38</v>
      </c>
      <c r="C17" s="55">
        <v>6356752.3142451802</v>
      </c>
      <c r="D17" s="28"/>
      <c r="E17" s="20">
        <v>658235.69799999997</v>
      </c>
      <c r="F17" s="20">
        <v>9568214.5800000001</v>
      </c>
      <c r="G17" s="29" t="str">
        <f t="shared" si="0"/>
        <v>M</v>
      </c>
      <c r="H17" s="30" t="str">
        <f t="shared" si="1"/>
        <v>M</v>
      </c>
      <c r="I17" s="30" t="str">
        <f t="shared" si="2"/>
        <v>M</v>
      </c>
      <c r="J17" s="30" t="str">
        <f t="shared" si="3"/>
        <v>U</v>
      </c>
      <c r="K17" s="12">
        <f t="shared" si="37"/>
        <v>-6.7851835900865659E-2</v>
      </c>
      <c r="L17" s="12">
        <f t="shared" si="5"/>
        <v>6375683.8447701288</v>
      </c>
      <c r="M17" s="12">
        <f t="shared" si="6"/>
        <v>-6.8159028819499243E-2</v>
      </c>
      <c r="N17" s="12">
        <f t="shared" si="7"/>
        <v>-81</v>
      </c>
      <c r="O17" s="12">
        <f t="shared" si="8"/>
        <v>-431785.41999999993</v>
      </c>
      <c r="P17" s="12">
        <f t="shared" si="9"/>
        <v>2.4818623672784243E-2</v>
      </c>
      <c r="Q17" s="12">
        <f t="shared" si="38"/>
        <v>-0.135287546953408</v>
      </c>
      <c r="R17" s="12">
        <f t="shared" si="39"/>
        <v>-0.13466565570196992</v>
      </c>
      <c r="S17" s="12">
        <f t="shared" si="40"/>
        <v>-0.13549560937756966</v>
      </c>
      <c r="T17" s="12">
        <f t="shared" si="41"/>
        <v>-0.13528812095866971</v>
      </c>
      <c r="U17" s="12">
        <f t="shared" si="42"/>
        <v>-0.27016240932009206</v>
      </c>
      <c r="V17" s="12">
        <f t="shared" si="15"/>
        <v>5.0546225567071803E-3</v>
      </c>
      <c r="W17" s="12">
        <f t="shared" si="43"/>
        <v>4.2582015317955055E-5</v>
      </c>
      <c r="X17" s="12">
        <f t="shared" si="44"/>
        <v>1.6740578955036711E-7</v>
      </c>
      <c r="Y17" s="12">
        <f t="shared" si="18"/>
        <v>-429705.85468323581</v>
      </c>
      <c r="Z17" s="12">
        <f t="shared" si="45"/>
        <v>-3.261713358748094E-4</v>
      </c>
      <c r="AA17" s="12">
        <f t="shared" si="20"/>
        <v>2.0661026161856418E-6</v>
      </c>
      <c r="AB17" s="12">
        <f t="shared" si="46"/>
        <v>2.4818606580176476E-2</v>
      </c>
      <c r="AC17" s="12">
        <f t="shared" si="47"/>
        <v>-6.8178006562837012E-2</v>
      </c>
      <c r="AD17" s="12">
        <f t="shared" si="48"/>
        <v>2.4821154550170921E-2</v>
      </c>
      <c r="AE17" s="12">
        <f t="shared" si="49"/>
        <v>2.4873822697870796E-2</v>
      </c>
      <c r="AF17" s="12">
        <f t="shared" si="50"/>
        <v>-6.8156981806812608E-2</v>
      </c>
      <c r="AG17" s="24">
        <f t="shared" si="26"/>
        <v>-3.9052246870678524</v>
      </c>
      <c r="AH17" s="24">
        <f t="shared" si="27"/>
        <v>-79.574834939055293</v>
      </c>
      <c r="AI17" s="31">
        <f t="shared" si="28"/>
        <v>-79</v>
      </c>
      <c r="AJ17" s="32">
        <f t="shared" si="29"/>
        <v>-34</v>
      </c>
      <c r="AK17" s="33">
        <f t="shared" si="30"/>
        <v>-29.405999999999999</v>
      </c>
      <c r="AL17" s="31">
        <f t="shared" si="31"/>
        <v>-3</v>
      </c>
      <c r="AM17" s="32">
        <f t="shared" si="32"/>
        <v>-54</v>
      </c>
      <c r="AN17" s="33">
        <f t="shared" si="33"/>
        <v>-18.809000000000001</v>
      </c>
      <c r="AO17" s="34" t="str">
        <f t="shared" si="51"/>
        <v>3º 54' 18,809" S</v>
      </c>
      <c r="AP17" s="34" t="str">
        <f t="shared" si="52"/>
        <v>79º 34' 29,406" W</v>
      </c>
      <c r="AQ17" s="34" t="str">
        <f t="shared" si="36"/>
        <v>17 M 658236 9568215</v>
      </c>
    </row>
    <row r="18" spans="1:43">
      <c r="A18" s="54"/>
      <c r="B18" s="13"/>
      <c r="C18" s="34"/>
      <c r="D18" s="28"/>
      <c r="E18" s="20">
        <v>658235.69799999997</v>
      </c>
      <c r="F18" s="20">
        <v>9568214.5800000001</v>
      </c>
      <c r="G18" s="29" t="str">
        <f t="shared" si="0"/>
        <v>M</v>
      </c>
      <c r="H18" s="30" t="str">
        <f t="shared" si="1"/>
        <v>M</v>
      </c>
      <c r="I18" s="30" t="str">
        <f t="shared" si="2"/>
        <v>M</v>
      </c>
      <c r="J18" s="30" t="str">
        <f t="shared" si="3"/>
        <v>U</v>
      </c>
      <c r="K18" s="12">
        <f t="shared" si="37"/>
        <v>-6.7851835900865659E-2</v>
      </c>
      <c r="L18" s="12">
        <f t="shared" si="5"/>
        <v>6375683.8447701288</v>
      </c>
      <c r="M18" s="12">
        <f t="shared" si="6"/>
        <v>-6.8159028819499243E-2</v>
      </c>
      <c r="N18" s="12">
        <f t="shared" si="7"/>
        <v>-81</v>
      </c>
      <c r="O18" s="12">
        <f t="shared" si="8"/>
        <v>-431785.41999999993</v>
      </c>
      <c r="P18" s="12">
        <f t="shared" si="9"/>
        <v>2.4818623672784243E-2</v>
      </c>
      <c r="Q18" s="12">
        <f t="shared" si="38"/>
        <v>-0.135287546953408</v>
      </c>
      <c r="R18" s="12">
        <f t="shared" si="39"/>
        <v>-0.13466565570196992</v>
      </c>
      <c r="S18" s="12">
        <f t="shared" si="40"/>
        <v>-0.13549560937756966</v>
      </c>
      <c r="T18" s="12">
        <f t="shared" si="41"/>
        <v>-0.13528812095866971</v>
      </c>
      <c r="U18" s="12">
        <f t="shared" si="42"/>
        <v>-0.27016240932009206</v>
      </c>
      <c r="V18" s="12">
        <f t="shared" si="15"/>
        <v>5.0546225567071803E-3</v>
      </c>
      <c r="W18" s="12">
        <f t="shared" si="43"/>
        <v>4.2582015317955055E-5</v>
      </c>
      <c r="X18" s="12">
        <f t="shared" si="44"/>
        <v>1.6740578955036711E-7</v>
      </c>
      <c r="Y18" s="12">
        <f t="shared" si="18"/>
        <v>-429705.85468323581</v>
      </c>
      <c r="Z18" s="12">
        <f t="shared" si="45"/>
        <v>-3.261713358748094E-4</v>
      </c>
      <c r="AA18" s="12">
        <f t="shared" si="20"/>
        <v>2.0661026161856418E-6</v>
      </c>
      <c r="AB18" s="12">
        <f t="shared" si="46"/>
        <v>2.4818606580176476E-2</v>
      </c>
      <c r="AC18" s="12">
        <f t="shared" si="47"/>
        <v>-6.8178006562837012E-2</v>
      </c>
      <c r="AD18" s="12">
        <f t="shared" si="48"/>
        <v>2.4821154550170921E-2</v>
      </c>
      <c r="AE18" s="12">
        <f t="shared" si="49"/>
        <v>2.4873822697870796E-2</v>
      </c>
      <c r="AF18" s="12">
        <f t="shared" si="50"/>
        <v>-6.8156981806812608E-2</v>
      </c>
      <c r="AG18" s="24">
        <f t="shared" si="26"/>
        <v>-3.9052246870678524</v>
      </c>
      <c r="AH18" s="24">
        <f t="shared" si="27"/>
        <v>-79.574834939055293</v>
      </c>
      <c r="AI18" s="31">
        <f t="shared" si="28"/>
        <v>-79</v>
      </c>
      <c r="AJ18" s="32">
        <f t="shared" si="29"/>
        <v>-34</v>
      </c>
      <c r="AK18" s="33">
        <f t="shared" si="30"/>
        <v>-29.405999999999999</v>
      </c>
      <c r="AL18" s="31">
        <f t="shared" si="31"/>
        <v>-3</v>
      </c>
      <c r="AM18" s="32">
        <f t="shared" si="32"/>
        <v>-54</v>
      </c>
      <c r="AN18" s="33">
        <f t="shared" si="33"/>
        <v>-18.809000000000001</v>
      </c>
      <c r="AO18" s="34" t="str">
        <f t="shared" si="51"/>
        <v>3º 54' 18,809" S</v>
      </c>
      <c r="AP18" s="34" t="str">
        <f t="shared" si="52"/>
        <v>79º 34' 29,406" W</v>
      </c>
      <c r="AQ18" s="34" t="str">
        <f t="shared" si="36"/>
        <v>17 M 658236 9568215</v>
      </c>
    </row>
    <row r="19" spans="1:43">
      <c r="A19" s="54"/>
      <c r="B19" s="55" t="s">
        <v>39</v>
      </c>
      <c r="C19" s="53">
        <f>SQRT(C16^2-C17^2)/C16</f>
        <v>8.1819190842620321E-2</v>
      </c>
      <c r="D19" s="28"/>
      <c r="E19" s="20">
        <v>658235.69799999997</v>
      </c>
      <c r="F19" s="20">
        <v>9568214.5800000001</v>
      </c>
      <c r="G19" s="29" t="str">
        <f t="shared" si="0"/>
        <v>M</v>
      </c>
      <c r="H19" s="30" t="str">
        <f t="shared" si="1"/>
        <v>M</v>
      </c>
      <c r="I19" s="30" t="str">
        <f t="shared" si="2"/>
        <v>M</v>
      </c>
      <c r="J19" s="30" t="str">
        <f t="shared" si="3"/>
        <v>U</v>
      </c>
      <c r="K19" s="12">
        <f t="shared" si="37"/>
        <v>-6.7851835900865659E-2</v>
      </c>
      <c r="L19" s="12">
        <f t="shared" si="5"/>
        <v>6375683.8447701288</v>
      </c>
      <c r="M19" s="12">
        <f t="shared" si="6"/>
        <v>-6.8159028819499243E-2</v>
      </c>
      <c r="N19" s="12">
        <f t="shared" si="7"/>
        <v>-81</v>
      </c>
      <c r="O19" s="12">
        <f t="shared" si="8"/>
        <v>-431785.41999999993</v>
      </c>
      <c r="P19" s="12">
        <f t="shared" si="9"/>
        <v>2.4818623672784243E-2</v>
      </c>
      <c r="Q19" s="12">
        <f t="shared" si="38"/>
        <v>-0.135287546953408</v>
      </c>
      <c r="R19" s="12">
        <f t="shared" si="39"/>
        <v>-0.13466565570196992</v>
      </c>
      <c r="S19" s="12">
        <f t="shared" si="40"/>
        <v>-0.13549560937756966</v>
      </c>
      <c r="T19" s="12">
        <f t="shared" si="41"/>
        <v>-0.13528812095866971</v>
      </c>
      <c r="U19" s="12">
        <f t="shared" si="42"/>
        <v>-0.27016240932009206</v>
      </c>
      <c r="V19" s="12">
        <f t="shared" si="15"/>
        <v>5.0546225567071803E-3</v>
      </c>
      <c r="W19" s="12">
        <f t="shared" si="43"/>
        <v>4.2582015317955055E-5</v>
      </c>
      <c r="X19" s="12">
        <f t="shared" si="44"/>
        <v>1.6740578955036711E-7</v>
      </c>
      <c r="Y19" s="12">
        <f t="shared" si="18"/>
        <v>-429705.85468323581</v>
      </c>
      <c r="Z19" s="12">
        <f t="shared" si="45"/>
        <v>-3.261713358748094E-4</v>
      </c>
      <c r="AA19" s="12">
        <f t="shared" si="20"/>
        <v>2.0661026161856418E-6</v>
      </c>
      <c r="AB19" s="12">
        <f t="shared" si="46"/>
        <v>2.4818606580176476E-2</v>
      </c>
      <c r="AC19" s="12">
        <f t="shared" si="47"/>
        <v>-6.8178006562837012E-2</v>
      </c>
      <c r="AD19" s="12">
        <f t="shared" si="48"/>
        <v>2.4821154550170921E-2</v>
      </c>
      <c r="AE19" s="12">
        <f t="shared" si="49"/>
        <v>2.4873822697870796E-2</v>
      </c>
      <c r="AF19" s="12">
        <f t="shared" si="50"/>
        <v>-6.8156981806812608E-2</v>
      </c>
      <c r="AG19" s="24">
        <f t="shared" si="26"/>
        <v>-3.9052246870678524</v>
      </c>
      <c r="AH19" s="24">
        <f t="shared" si="27"/>
        <v>-79.574834939055293</v>
      </c>
      <c r="AI19" s="31">
        <f t="shared" si="28"/>
        <v>-79</v>
      </c>
      <c r="AJ19" s="32">
        <f t="shared" si="29"/>
        <v>-34</v>
      </c>
      <c r="AK19" s="33">
        <f t="shared" si="30"/>
        <v>-29.405999999999999</v>
      </c>
      <c r="AL19" s="31">
        <f t="shared" si="31"/>
        <v>-3</v>
      </c>
      <c r="AM19" s="32">
        <f t="shared" si="32"/>
        <v>-54</v>
      </c>
      <c r="AN19" s="33">
        <f t="shared" si="33"/>
        <v>-18.809000000000001</v>
      </c>
      <c r="AO19" s="34" t="str">
        <f t="shared" si="51"/>
        <v>3º 54' 18,809" S</v>
      </c>
      <c r="AP19" s="34" t="str">
        <f t="shared" si="52"/>
        <v>79º 34' 29,406" W</v>
      </c>
      <c r="AQ19" s="34" t="str">
        <f t="shared" si="36"/>
        <v>17 M 658236 9568215</v>
      </c>
    </row>
    <row r="20" spans="1:43">
      <c r="A20" s="54"/>
      <c r="B20" s="55" t="s">
        <v>40</v>
      </c>
      <c r="C20" s="53">
        <f>SQRT(C16^2-C17^2)/C17</f>
        <v>8.2094437949694496E-2</v>
      </c>
      <c r="D20" s="28"/>
      <c r="E20" s="20">
        <v>658235.69799999997</v>
      </c>
      <c r="F20" s="20">
        <v>9568214.5800000001</v>
      </c>
      <c r="G20" s="29" t="str">
        <f t="shared" si="0"/>
        <v>M</v>
      </c>
      <c r="H20" s="30" t="str">
        <f t="shared" si="1"/>
        <v>M</v>
      </c>
      <c r="I20" s="30" t="str">
        <f t="shared" si="2"/>
        <v>M</v>
      </c>
      <c r="J20" s="30" t="str">
        <f t="shared" si="3"/>
        <v>U</v>
      </c>
      <c r="K20" s="12">
        <f t="shared" si="37"/>
        <v>-6.7851835900865659E-2</v>
      </c>
      <c r="L20" s="12">
        <f t="shared" si="5"/>
        <v>6375683.8447701288</v>
      </c>
      <c r="M20" s="12">
        <f t="shared" si="6"/>
        <v>-6.8159028819499243E-2</v>
      </c>
      <c r="N20" s="12">
        <f t="shared" si="7"/>
        <v>-81</v>
      </c>
      <c r="O20" s="12">
        <f t="shared" si="8"/>
        <v>-431785.41999999993</v>
      </c>
      <c r="P20" s="12">
        <f t="shared" si="9"/>
        <v>2.4818623672784243E-2</v>
      </c>
      <c r="Q20" s="12">
        <f t="shared" si="38"/>
        <v>-0.135287546953408</v>
      </c>
      <c r="R20" s="12">
        <f t="shared" si="39"/>
        <v>-0.13466565570196992</v>
      </c>
      <c r="S20" s="12">
        <f t="shared" si="40"/>
        <v>-0.13549560937756966</v>
      </c>
      <c r="T20" s="12">
        <f t="shared" si="41"/>
        <v>-0.13528812095866971</v>
      </c>
      <c r="U20" s="12">
        <f t="shared" si="42"/>
        <v>-0.27016240932009206</v>
      </c>
      <c r="V20" s="12">
        <f t="shared" si="15"/>
        <v>5.0546225567071803E-3</v>
      </c>
      <c r="W20" s="12">
        <f t="shared" si="43"/>
        <v>4.2582015317955055E-5</v>
      </c>
      <c r="X20" s="12">
        <f t="shared" si="44"/>
        <v>1.6740578955036711E-7</v>
      </c>
      <c r="Y20" s="12">
        <f t="shared" si="18"/>
        <v>-429705.85468323581</v>
      </c>
      <c r="Z20" s="12">
        <f t="shared" si="45"/>
        <v>-3.261713358748094E-4</v>
      </c>
      <c r="AA20" s="12">
        <f t="shared" si="20"/>
        <v>2.0661026161856418E-6</v>
      </c>
      <c r="AB20" s="12">
        <f t="shared" si="46"/>
        <v>2.4818606580176476E-2</v>
      </c>
      <c r="AC20" s="12">
        <f t="shared" si="47"/>
        <v>-6.8178006562837012E-2</v>
      </c>
      <c r="AD20" s="12">
        <f t="shared" si="48"/>
        <v>2.4821154550170921E-2</v>
      </c>
      <c r="AE20" s="12">
        <f t="shared" si="49"/>
        <v>2.4873822697870796E-2</v>
      </c>
      <c r="AF20" s="12">
        <f t="shared" si="50"/>
        <v>-6.8156981806812608E-2</v>
      </c>
      <c r="AG20" s="24">
        <f t="shared" si="26"/>
        <v>-3.9052246870678524</v>
      </c>
      <c r="AH20" s="24">
        <f t="shared" si="27"/>
        <v>-79.574834939055293</v>
      </c>
      <c r="AI20" s="31">
        <f t="shared" si="28"/>
        <v>-79</v>
      </c>
      <c r="AJ20" s="32">
        <f t="shared" si="29"/>
        <v>-34</v>
      </c>
      <c r="AK20" s="33">
        <f t="shared" si="30"/>
        <v>-29.405999999999999</v>
      </c>
      <c r="AL20" s="31">
        <f t="shared" si="31"/>
        <v>-3</v>
      </c>
      <c r="AM20" s="32">
        <f t="shared" si="32"/>
        <v>-54</v>
      </c>
      <c r="AN20" s="33">
        <f t="shared" si="33"/>
        <v>-18.809000000000001</v>
      </c>
      <c r="AO20" s="34" t="str">
        <f t="shared" si="51"/>
        <v>3º 54' 18,809" S</v>
      </c>
      <c r="AP20" s="34" t="str">
        <f t="shared" si="52"/>
        <v>79º 34' 29,406" W</v>
      </c>
      <c r="AQ20" s="34" t="str">
        <f t="shared" si="36"/>
        <v>17 M 658236 9568215</v>
      </c>
    </row>
    <row r="21" spans="1:43">
      <c r="A21" s="54"/>
      <c r="B21" s="55" t="s">
        <v>41</v>
      </c>
      <c r="C21" s="53">
        <f>C20^2</f>
        <v>6.7394967422762398E-3</v>
      </c>
      <c r="D21" s="28"/>
      <c r="E21" s="20">
        <v>658235.69799999997</v>
      </c>
      <c r="F21" s="20">
        <v>9568214.5800000001</v>
      </c>
      <c r="G21" s="29" t="str">
        <f t="shared" si="0"/>
        <v>M</v>
      </c>
      <c r="H21" s="30" t="str">
        <f t="shared" si="1"/>
        <v>M</v>
      </c>
      <c r="I21" s="30" t="str">
        <f t="shared" si="2"/>
        <v>M</v>
      </c>
      <c r="J21" s="30" t="str">
        <f t="shared" si="3"/>
        <v>U</v>
      </c>
      <c r="K21" s="12">
        <f t="shared" si="37"/>
        <v>-6.7851835900865659E-2</v>
      </c>
      <c r="L21" s="12">
        <f t="shared" si="5"/>
        <v>6375683.8447701288</v>
      </c>
      <c r="M21" s="12">
        <f t="shared" si="6"/>
        <v>-6.8159028819499243E-2</v>
      </c>
      <c r="N21" s="12">
        <f t="shared" si="7"/>
        <v>-81</v>
      </c>
      <c r="O21" s="12">
        <f t="shared" si="8"/>
        <v>-431785.41999999993</v>
      </c>
      <c r="P21" s="12">
        <f t="shared" si="9"/>
        <v>2.4818623672784243E-2</v>
      </c>
      <c r="Q21" s="12">
        <f t="shared" si="38"/>
        <v>-0.135287546953408</v>
      </c>
      <c r="R21" s="12">
        <f t="shared" si="39"/>
        <v>-0.13466565570196992</v>
      </c>
      <c r="S21" s="12">
        <f t="shared" si="40"/>
        <v>-0.13549560937756966</v>
      </c>
      <c r="T21" s="12">
        <f t="shared" si="41"/>
        <v>-0.13528812095866971</v>
      </c>
      <c r="U21" s="12">
        <f t="shared" si="42"/>
        <v>-0.27016240932009206</v>
      </c>
      <c r="V21" s="12">
        <f t="shared" si="15"/>
        <v>5.0546225567071803E-3</v>
      </c>
      <c r="W21" s="12">
        <f t="shared" si="43"/>
        <v>4.2582015317955055E-5</v>
      </c>
      <c r="X21" s="12">
        <f t="shared" si="44"/>
        <v>1.6740578955036711E-7</v>
      </c>
      <c r="Y21" s="12">
        <f t="shared" si="18"/>
        <v>-429705.85468323581</v>
      </c>
      <c r="Z21" s="12">
        <f t="shared" si="45"/>
        <v>-3.261713358748094E-4</v>
      </c>
      <c r="AA21" s="12">
        <f t="shared" si="20"/>
        <v>2.0661026161856418E-6</v>
      </c>
      <c r="AB21" s="12">
        <f t="shared" si="46"/>
        <v>2.4818606580176476E-2</v>
      </c>
      <c r="AC21" s="12">
        <f t="shared" si="47"/>
        <v>-6.8178006562837012E-2</v>
      </c>
      <c r="AD21" s="12">
        <f t="shared" si="48"/>
        <v>2.4821154550170921E-2</v>
      </c>
      <c r="AE21" s="12">
        <f t="shared" si="49"/>
        <v>2.4873822697870796E-2</v>
      </c>
      <c r="AF21" s="12">
        <f t="shared" si="50"/>
        <v>-6.8156981806812608E-2</v>
      </c>
      <c r="AG21" s="24">
        <f t="shared" si="26"/>
        <v>-3.9052246870678524</v>
      </c>
      <c r="AH21" s="24">
        <f t="shared" si="27"/>
        <v>-79.574834939055293</v>
      </c>
      <c r="AI21" s="31">
        <f t="shared" si="28"/>
        <v>-79</v>
      </c>
      <c r="AJ21" s="32">
        <f t="shared" si="29"/>
        <v>-34</v>
      </c>
      <c r="AK21" s="33">
        <f t="shared" si="30"/>
        <v>-29.405999999999999</v>
      </c>
      <c r="AL21" s="31">
        <f t="shared" si="31"/>
        <v>-3</v>
      </c>
      <c r="AM21" s="32">
        <f t="shared" si="32"/>
        <v>-54</v>
      </c>
      <c r="AN21" s="33">
        <f t="shared" si="33"/>
        <v>-18.809000000000001</v>
      </c>
      <c r="AO21" s="34" t="str">
        <f t="shared" si="51"/>
        <v>3º 54' 18,809" S</v>
      </c>
      <c r="AP21" s="34" t="str">
        <f t="shared" si="52"/>
        <v>79º 34' 29,406" W</v>
      </c>
      <c r="AQ21" s="34" t="str">
        <f t="shared" si="36"/>
        <v>17 M 658236 9568215</v>
      </c>
    </row>
    <row r="22" spans="1:43">
      <c r="A22" s="54"/>
      <c r="B22" s="55" t="s">
        <v>42</v>
      </c>
      <c r="C22" s="53">
        <f>+(C16^2)/C17</f>
        <v>6399593.6257584924</v>
      </c>
      <c r="D22" s="28"/>
      <c r="E22" s="20">
        <v>658235.69799999997</v>
      </c>
      <c r="F22" s="20">
        <v>9568214.5800000001</v>
      </c>
      <c r="G22" s="29" t="str">
        <f t="shared" si="0"/>
        <v>M</v>
      </c>
      <c r="H22" s="30" t="str">
        <f t="shared" si="1"/>
        <v>M</v>
      </c>
      <c r="I22" s="30" t="str">
        <f t="shared" si="2"/>
        <v>M</v>
      </c>
      <c r="J22" s="30" t="str">
        <f t="shared" si="3"/>
        <v>U</v>
      </c>
      <c r="K22" s="12">
        <f t="shared" si="37"/>
        <v>-6.7851835900865659E-2</v>
      </c>
      <c r="L22" s="12">
        <f t="shared" si="5"/>
        <v>6375683.8447701288</v>
      </c>
      <c r="M22" s="12">
        <f t="shared" si="6"/>
        <v>-6.8159028819499243E-2</v>
      </c>
      <c r="N22" s="12">
        <f t="shared" si="7"/>
        <v>-81</v>
      </c>
      <c r="O22" s="12">
        <f t="shared" si="8"/>
        <v>-431785.41999999993</v>
      </c>
      <c r="P22" s="12">
        <f t="shared" si="9"/>
        <v>2.4818623672784243E-2</v>
      </c>
      <c r="Q22" s="12">
        <f t="shared" si="38"/>
        <v>-0.135287546953408</v>
      </c>
      <c r="R22" s="12">
        <f t="shared" si="39"/>
        <v>-0.13466565570196992</v>
      </c>
      <c r="S22" s="12">
        <f t="shared" si="40"/>
        <v>-0.13549560937756966</v>
      </c>
      <c r="T22" s="12">
        <f t="shared" si="41"/>
        <v>-0.13528812095866971</v>
      </c>
      <c r="U22" s="12">
        <f t="shared" si="42"/>
        <v>-0.27016240932009206</v>
      </c>
      <c r="V22" s="12">
        <f t="shared" si="15"/>
        <v>5.0546225567071803E-3</v>
      </c>
      <c r="W22" s="12">
        <f t="shared" si="43"/>
        <v>4.2582015317955055E-5</v>
      </c>
      <c r="X22" s="12">
        <f t="shared" si="44"/>
        <v>1.6740578955036711E-7</v>
      </c>
      <c r="Y22" s="12">
        <f t="shared" si="18"/>
        <v>-429705.85468323581</v>
      </c>
      <c r="Z22" s="12">
        <f t="shared" si="45"/>
        <v>-3.261713358748094E-4</v>
      </c>
      <c r="AA22" s="12">
        <f t="shared" si="20"/>
        <v>2.0661026161856418E-6</v>
      </c>
      <c r="AB22" s="12">
        <f t="shared" si="46"/>
        <v>2.4818606580176476E-2</v>
      </c>
      <c r="AC22" s="12">
        <f t="shared" si="47"/>
        <v>-6.8178006562837012E-2</v>
      </c>
      <c r="AD22" s="12">
        <f t="shared" si="48"/>
        <v>2.4821154550170921E-2</v>
      </c>
      <c r="AE22" s="12">
        <f t="shared" si="49"/>
        <v>2.4873822697870796E-2</v>
      </c>
      <c r="AF22" s="12">
        <f t="shared" si="50"/>
        <v>-6.8156981806812608E-2</v>
      </c>
      <c r="AG22" s="24">
        <f t="shared" si="26"/>
        <v>-3.9052246870678524</v>
      </c>
      <c r="AH22" s="24">
        <f t="shared" si="27"/>
        <v>-79.574834939055293</v>
      </c>
      <c r="AI22" s="31">
        <f t="shared" si="28"/>
        <v>-79</v>
      </c>
      <c r="AJ22" s="32">
        <f t="shared" si="29"/>
        <v>-34</v>
      </c>
      <c r="AK22" s="33">
        <f t="shared" si="30"/>
        <v>-29.405999999999999</v>
      </c>
      <c r="AL22" s="31">
        <f t="shared" si="31"/>
        <v>-3</v>
      </c>
      <c r="AM22" s="32">
        <f t="shared" si="32"/>
        <v>-54</v>
      </c>
      <c r="AN22" s="33">
        <f t="shared" si="33"/>
        <v>-18.809000000000001</v>
      </c>
      <c r="AO22" s="34" t="str">
        <f t="shared" si="51"/>
        <v>3º 54' 18,809" S</v>
      </c>
      <c r="AP22" s="34" t="str">
        <f t="shared" si="52"/>
        <v>79º 34' 29,406" W</v>
      </c>
      <c r="AQ22" s="34" t="str">
        <f t="shared" si="36"/>
        <v>17 M 658236 9568215</v>
      </c>
    </row>
    <row r="23" spans="1:43">
      <c r="A23" s="54"/>
      <c r="B23" s="54"/>
      <c r="C23" s="54"/>
      <c r="D23" s="28"/>
      <c r="E23" s="20">
        <v>658235.69799999997</v>
      </c>
      <c r="F23" s="20">
        <v>9568214.5800000001</v>
      </c>
      <c r="G23" s="29" t="str">
        <f t="shared" si="0"/>
        <v>M</v>
      </c>
      <c r="H23" s="30" t="str">
        <f t="shared" si="1"/>
        <v>M</v>
      </c>
      <c r="I23" s="30" t="str">
        <f t="shared" si="2"/>
        <v>M</v>
      </c>
      <c r="J23" s="30" t="str">
        <f t="shared" si="3"/>
        <v>U</v>
      </c>
      <c r="K23" s="12">
        <f t="shared" si="37"/>
        <v>-6.7851835900865659E-2</v>
      </c>
      <c r="L23" s="12">
        <f t="shared" si="5"/>
        <v>6375683.8447701288</v>
      </c>
      <c r="M23" s="12">
        <f t="shared" si="6"/>
        <v>-6.8159028819499243E-2</v>
      </c>
      <c r="N23" s="12">
        <f t="shared" si="7"/>
        <v>-81</v>
      </c>
      <c r="O23" s="12">
        <f t="shared" si="8"/>
        <v>-431785.41999999993</v>
      </c>
      <c r="P23" s="12">
        <f t="shared" si="9"/>
        <v>2.4818623672784243E-2</v>
      </c>
      <c r="Q23" s="12">
        <f t="shared" si="38"/>
        <v>-0.135287546953408</v>
      </c>
      <c r="R23" s="12">
        <f t="shared" si="39"/>
        <v>-0.13466565570196992</v>
      </c>
      <c r="S23" s="12">
        <f t="shared" si="40"/>
        <v>-0.13549560937756966</v>
      </c>
      <c r="T23" s="12">
        <f t="shared" si="41"/>
        <v>-0.13528812095866971</v>
      </c>
      <c r="U23" s="12">
        <f t="shared" si="42"/>
        <v>-0.27016240932009206</v>
      </c>
      <c r="V23" s="12">
        <f t="shared" si="15"/>
        <v>5.0546225567071803E-3</v>
      </c>
      <c r="W23" s="12">
        <f t="shared" si="43"/>
        <v>4.2582015317955055E-5</v>
      </c>
      <c r="X23" s="12">
        <f t="shared" si="44"/>
        <v>1.6740578955036711E-7</v>
      </c>
      <c r="Y23" s="12">
        <f t="shared" si="18"/>
        <v>-429705.85468323581</v>
      </c>
      <c r="Z23" s="12">
        <f t="shared" si="45"/>
        <v>-3.261713358748094E-4</v>
      </c>
      <c r="AA23" s="12">
        <f t="shared" si="20"/>
        <v>2.0661026161856418E-6</v>
      </c>
      <c r="AB23" s="12">
        <f t="shared" si="46"/>
        <v>2.4818606580176476E-2</v>
      </c>
      <c r="AC23" s="12">
        <f t="shared" si="47"/>
        <v>-6.8178006562837012E-2</v>
      </c>
      <c r="AD23" s="12">
        <f t="shared" si="48"/>
        <v>2.4821154550170921E-2</v>
      </c>
      <c r="AE23" s="12">
        <f t="shared" si="49"/>
        <v>2.4873822697870796E-2</v>
      </c>
      <c r="AF23" s="12">
        <f t="shared" si="50"/>
        <v>-6.8156981806812608E-2</v>
      </c>
      <c r="AG23" s="24">
        <f t="shared" si="26"/>
        <v>-3.9052246870678524</v>
      </c>
      <c r="AH23" s="24">
        <f t="shared" si="27"/>
        <v>-79.574834939055293</v>
      </c>
      <c r="AI23" s="31">
        <f t="shared" si="28"/>
        <v>-79</v>
      </c>
      <c r="AJ23" s="32">
        <f t="shared" si="29"/>
        <v>-34</v>
      </c>
      <c r="AK23" s="33">
        <f t="shared" si="30"/>
        <v>-29.405999999999999</v>
      </c>
      <c r="AL23" s="31">
        <f t="shared" si="31"/>
        <v>-3</v>
      </c>
      <c r="AM23" s="32">
        <f t="shared" si="32"/>
        <v>-54</v>
      </c>
      <c r="AN23" s="33">
        <f t="shared" si="33"/>
        <v>-18.809000000000001</v>
      </c>
      <c r="AO23" s="34" t="str">
        <f t="shared" si="51"/>
        <v>3º 54' 18,809" S</v>
      </c>
      <c r="AP23" s="34" t="str">
        <f t="shared" si="52"/>
        <v>79º 34' 29,406" W</v>
      </c>
      <c r="AQ23" s="34" t="str">
        <f t="shared" si="36"/>
        <v>17 M 658236 9568215</v>
      </c>
    </row>
    <row r="24" spans="1:43">
      <c r="A24" s="54"/>
      <c r="B24" s="64" t="s">
        <v>43</v>
      </c>
      <c r="C24" s="64"/>
      <c r="D24" s="28"/>
      <c r="E24" s="20">
        <v>658235.69799999997</v>
      </c>
      <c r="F24" s="20">
        <v>9568214.5800000001</v>
      </c>
      <c r="G24" s="29" t="str">
        <f t="shared" si="0"/>
        <v>M</v>
      </c>
      <c r="H24" s="30" t="str">
        <f t="shared" si="1"/>
        <v>M</v>
      </c>
      <c r="I24" s="30" t="str">
        <f t="shared" si="2"/>
        <v>M</v>
      </c>
      <c r="J24" s="30" t="str">
        <f t="shared" si="3"/>
        <v>U</v>
      </c>
      <c r="K24" s="12">
        <f t="shared" ref="K24:K31" si="53">(O24)/(6366197.724*0.9996)</f>
        <v>-6.7851835900865659E-2</v>
      </c>
      <c r="L24" s="12">
        <f t="shared" si="5"/>
        <v>6375683.8447701288</v>
      </c>
      <c r="M24" s="12">
        <f t="shared" si="6"/>
        <v>-6.8159028819499243E-2</v>
      </c>
      <c r="N24" s="12">
        <f t="shared" si="7"/>
        <v>-81</v>
      </c>
      <c r="O24" s="12">
        <f t="shared" si="8"/>
        <v>-431785.41999999993</v>
      </c>
      <c r="P24" s="12">
        <f t="shared" si="9"/>
        <v>2.4818623672784243E-2</v>
      </c>
      <c r="Q24" s="12">
        <f t="shared" ref="Q24:Q31" si="54">SIN(2*K24)</f>
        <v>-0.135287546953408</v>
      </c>
      <c r="R24" s="12">
        <f t="shared" ref="R24:R31" si="55">Q24*(COS(K24))^2</f>
        <v>-0.13466565570196992</v>
      </c>
      <c r="S24" s="12">
        <f t="shared" ref="S24:S31" si="56">K24+(Q24/2)</f>
        <v>-0.13549560937756966</v>
      </c>
      <c r="T24" s="12">
        <f t="shared" ref="T24:T31" si="57">(3*S24+R24)/4</f>
        <v>-0.13528812095866971</v>
      </c>
      <c r="U24" s="12">
        <f t="shared" ref="U24:U31" si="58">(5*T24+R24*(COS(K24))^2)/3</f>
        <v>-0.27016240932009206</v>
      </c>
      <c r="V24" s="12">
        <f t="shared" si="15"/>
        <v>5.0546225567071803E-3</v>
      </c>
      <c r="W24" s="12">
        <f t="shared" ref="W24:W31" si="59">(5/3)*(V24)^2</f>
        <v>4.2582015317955055E-5</v>
      </c>
      <c r="X24" s="12">
        <f t="shared" ref="X24:X31" si="60">(35/27)*(V24)^3</f>
        <v>1.6740578955036711E-7</v>
      </c>
      <c r="Y24" s="12">
        <f t="shared" si="18"/>
        <v>-429705.85468323581</v>
      </c>
      <c r="Z24" s="12">
        <f t="shared" ref="Z24:Z31" si="61">(O24-Y24)/L24</f>
        <v>-3.261713358748094E-4</v>
      </c>
      <c r="AA24" s="12">
        <f t="shared" si="20"/>
        <v>2.0661026161856418E-6</v>
      </c>
      <c r="AB24" s="12">
        <f t="shared" ref="AB24:AB31" si="62">P24*(1-(AA24/3))</f>
        <v>2.4818606580176476E-2</v>
      </c>
      <c r="AC24" s="12">
        <f t="shared" ref="AC24:AC31" si="63">Z24*(1-AA24)+K24</f>
        <v>-6.8178006562837012E-2</v>
      </c>
      <c r="AD24" s="12">
        <f t="shared" ref="AD24:AD31" si="64">(EXP(AB24)-EXP(-AB24))/2</f>
        <v>2.4821154550170921E-2</v>
      </c>
      <c r="AE24" s="12">
        <f t="shared" ref="AE24:AE31" si="65">ATAN(AD24/COS(AC24))</f>
        <v>2.4873822697870796E-2</v>
      </c>
      <c r="AF24" s="12">
        <f t="shared" ref="AF24:AF31" si="66">ATAN(COS(AE24)*TAN(AC24))</f>
        <v>-6.8156981806812608E-2</v>
      </c>
      <c r="AG24" s="24">
        <f t="shared" si="26"/>
        <v>-3.9052246870678524</v>
      </c>
      <c r="AH24" s="24">
        <f t="shared" si="27"/>
        <v>-79.574834939055293</v>
      </c>
      <c r="AI24" s="31">
        <f t="shared" si="28"/>
        <v>-79</v>
      </c>
      <c r="AJ24" s="32">
        <f t="shared" si="29"/>
        <v>-34</v>
      </c>
      <c r="AK24" s="33">
        <f t="shared" si="30"/>
        <v>-29.405999999999999</v>
      </c>
      <c r="AL24" s="31">
        <f t="shared" si="31"/>
        <v>-3</v>
      </c>
      <c r="AM24" s="32">
        <f t="shared" si="32"/>
        <v>-54</v>
      </c>
      <c r="AN24" s="33">
        <f t="shared" si="33"/>
        <v>-18.809000000000001</v>
      </c>
      <c r="AO24" s="34" t="str">
        <f t="shared" ref="AO24:AO31" si="67">CONCATENATE(-AL24,"º ",-AM24,"' ",-AN24,""" S")</f>
        <v>3º 54' 18,809" S</v>
      </c>
      <c r="AP24" s="34" t="str">
        <f t="shared" ref="AP24:AP31" si="68">CONCATENATE(-AI24,"º ",-AJ24,"' ",-AK24,""" W")</f>
        <v>79º 34' 29,406" W</v>
      </c>
      <c r="AQ24" s="34" t="str">
        <f t="shared" si="36"/>
        <v>17 M 658236 9568215</v>
      </c>
    </row>
    <row r="25" spans="1:43">
      <c r="A25" s="54"/>
      <c r="B25" s="45" t="s">
        <v>44</v>
      </c>
      <c r="C25" s="42">
        <v>17</v>
      </c>
      <c r="D25" s="28"/>
      <c r="E25" s="20">
        <v>658235.69799999997</v>
      </c>
      <c r="F25" s="20">
        <v>9568214.5800000001</v>
      </c>
      <c r="G25" s="29" t="str">
        <f t="shared" si="0"/>
        <v>M</v>
      </c>
      <c r="H25" s="30" t="str">
        <f t="shared" si="1"/>
        <v>M</v>
      </c>
      <c r="I25" s="30" t="str">
        <f t="shared" si="2"/>
        <v>M</v>
      </c>
      <c r="J25" s="30" t="str">
        <f t="shared" si="3"/>
        <v>U</v>
      </c>
      <c r="K25" s="12">
        <f t="shared" si="53"/>
        <v>-6.7851835900865659E-2</v>
      </c>
      <c r="L25" s="12">
        <f t="shared" si="5"/>
        <v>6375683.8447701288</v>
      </c>
      <c r="M25" s="12">
        <f t="shared" si="6"/>
        <v>-6.8159028819499243E-2</v>
      </c>
      <c r="N25" s="12">
        <f t="shared" si="7"/>
        <v>-81</v>
      </c>
      <c r="O25" s="12">
        <f t="shared" si="8"/>
        <v>-431785.41999999993</v>
      </c>
      <c r="P25" s="12">
        <f t="shared" si="9"/>
        <v>2.4818623672784243E-2</v>
      </c>
      <c r="Q25" s="12">
        <f t="shared" si="54"/>
        <v>-0.135287546953408</v>
      </c>
      <c r="R25" s="12">
        <f t="shared" si="55"/>
        <v>-0.13466565570196992</v>
      </c>
      <c r="S25" s="12">
        <f t="shared" si="56"/>
        <v>-0.13549560937756966</v>
      </c>
      <c r="T25" s="12">
        <f t="shared" si="57"/>
        <v>-0.13528812095866971</v>
      </c>
      <c r="U25" s="12">
        <f t="shared" si="58"/>
        <v>-0.27016240932009206</v>
      </c>
      <c r="V25" s="12">
        <f t="shared" si="15"/>
        <v>5.0546225567071803E-3</v>
      </c>
      <c r="W25" s="12">
        <f t="shared" si="59"/>
        <v>4.2582015317955055E-5</v>
      </c>
      <c r="X25" s="12">
        <f t="shared" si="60"/>
        <v>1.6740578955036711E-7</v>
      </c>
      <c r="Y25" s="12">
        <f t="shared" si="18"/>
        <v>-429705.85468323581</v>
      </c>
      <c r="Z25" s="12">
        <f t="shared" si="61"/>
        <v>-3.261713358748094E-4</v>
      </c>
      <c r="AA25" s="12">
        <f t="shared" si="20"/>
        <v>2.0661026161856418E-6</v>
      </c>
      <c r="AB25" s="12">
        <f t="shared" si="62"/>
        <v>2.4818606580176476E-2</v>
      </c>
      <c r="AC25" s="12">
        <f t="shared" si="63"/>
        <v>-6.8178006562837012E-2</v>
      </c>
      <c r="AD25" s="12">
        <f t="shared" si="64"/>
        <v>2.4821154550170921E-2</v>
      </c>
      <c r="AE25" s="12">
        <f t="shared" si="65"/>
        <v>2.4873822697870796E-2</v>
      </c>
      <c r="AF25" s="12">
        <f t="shared" si="66"/>
        <v>-6.8156981806812608E-2</v>
      </c>
      <c r="AG25" s="24">
        <f t="shared" si="26"/>
        <v>-3.9052246870678524</v>
      </c>
      <c r="AH25" s="24">
        <f t="shared" si="27"/>
        <v>-79.574834939055293</v>
      </c>
      <c r="AI25" s="31">
        <f t="shared" si="28"/>
        <v>-79</v>
      </c>
      <c r="AJ25" s="32">
        <f t="shared" si="29"/>
        <v>-34</v>
      </c>
      <c r="AK25" s="33">
        <f t="shared" si="30"/>
        <v>-29.405999999999999</v>
      </c>
      <c r="AL25" s="31">
        <f t="shared" si="31"/>
        <v>-3</v>
      </c>
      <c r="AM25" s="32">
        <f t="shared" si="32"/>
        <v>-54</v>
      </c>
      <c r="AN25" s="33">
        <f t="shared" si="33"/>
        <v>-18.809000000000001</v>
      </c>
      <c r="AO25" s="34" t="str">
        <f t="shared" si="67"/>
        <v>3º 54' 18,809" S</v>
      </c>
      <c r="AP25" s="34" t="str">
        <f t="shared" si="68"/>
        <v>79º 34' 29,406" W</v>
      </c>
      <c r="AQ25" s="34" t="str">
        <f t="shared" si="36"/>
        <v>17 M 658236 9568215</v>
      </c>
    </row>
    <row r="26" spans="1:43">
      <c r="A26" s="54"/>
      <c r="B26" s="45" t="s">
        <v>45</v>
      </c>
      <c r="C26" s="43" t="s">
        <v>46</v>
      </c>
      <c r="D26" s="28"/>
      <c r="E26" s="20">
        <v>658235.69799999997</v>
      </c>
      <c r="F26" s="20">
        <v>9568214.5800000001</v>
      </c>
      <c r="G26" s="29" t="str">
        <f t="shared" si="0"/>
        <v>M</v>
      </c>
      <c r="H26" s="30" t="str">
        <f t="shared" si="1"/>
        <v>M</v>
      </c>
      <c r="I26" s="30" t="str">
        <f t="shared" si="2"/>
        <v>M</v>
      </c>
      <c r="J26" s="30" t="str">
        <f t="shared" si="3"/>
        <v>U</v>
      </c>
      <c r="K26" s="12">
        <f t="shared" si="53"/>
        <v>-6.7851835900865659E-2</v>
      </c>
      <c r="L26" s="12">
        <f t="shared" si="5"/>
        <v>6375683.8447701288</v>
      </c>
      <c r="M26" s="12">
        <f t="shared" si="6"/>
        <v>-6.8159028819499243E-2</v>
      </c>
      <c r="N26" s="12">
        <f t="shared" si="7"/>
        <v>-81</v>
      </c>
      <c r="O26" s="12">
        <f t="shared" si="8"/>
        <v>-431785.41999999993</v>
      </c>
      <c r="P26" s="12">
        <f t="shared" si="9"/>
        <v>2.4818623672784243E-2</v>
      </c>
      <c r="Q26" s="12">
        <f t="shared" si="54"/>
        <v>-0.135287546953408</v>
      </c>
      <c r="R26" s="12">
        <f t="shared" si="55"/>
        <v>-0.13466565570196992</v>
      </c>
      <c r="S26" s="12">
        <f t="shared" si="56"/>
        <v>-0.13549560937756966</v>
      </c>
      <c r="T26" s="12">
        <f t="shared" si="57"/>
        <v>-0.13528812095866971</v>
      </c>
      <c r="U26" s="12">
        <f t="shared" si="58"/>
        <v>-0.27016240932009206</v>
      </c>
      <c r="V26" s="12">
        <f t="shared" si="15"/>
        <v>5.0546225567071803E-3</v>
      </c>
      <c r="W26" s="12">
        <f t="shared" si="59"/>
        <v>4.2582015317955055E-5</v>
      </c>
      <c r="X26" s="12">
        <f t="shared" si="60"/>
        <v>1.6740578955036711E-7</v>
      </c>
      <c r="Y26" s="12">
        <f t="shared" si="18"/>
        <v>-429705.85468323581</v>
      </c>
      <c r="Z26" s="12">
        <f t="shared" si="61"/>
        <v>-3.261713358748094E-4</v>
      </c>
      <c r="AA26" s="12">
        <f t="shared" si="20"/>
        <v>2.0661026161856418E-6</v>
      </c>
      <c r="AB26" s="12">
        <f t="shared" si="62"/>
        <v>2.4818606580176476E-2</v>
      </c>
      <c r="AC26" s="12">
        <f t="shared" si="63"/>
        <v>-6.8178006562837012E-2</v>
      </c>
      <c r="AD26" s="12">
        <f t="shared" si="64"/>
        <v>2.4821154550170921E-2</v>
      </c>
      <c r="AE26" s="12">
        <f t="shared" si="65"/>
        <v>2.4873822697870796E-2</v>
      </c>
      <c r="AF26" s="12">
        <f t="shared" si="66"/>
        <v>-6.8156981806812608E-2</v>
      </c>
      <c r="AG26" s="24">
        <f t="shared" si="26"/>
        <v>-3.9052246870678524</v>
      </c>
      <c r="AH26" s="24">
        <f t="shared" si="27"/>
        <v>-79.574834939055293</v>
      </c>
      <c r="AI26" s="31">
        <f t="shared" si="28"/>
        <v>-79</v>
      </c>
      <c r="AJ26" s="32">
        <f t="shared" si="29"/>
        <v>-34</v>
      </c>
      <c r="AK26" s="33">
        <f t="shared" si="30"/>
        <v>-29.405999999999999</v>
      </c>
      <c r="AL26" s="31">
        <f t="shared" si="31"/>
        <v>-3</v>
      </c>
      <c r="AM26" s="32">
        <f t="shared" si="32"/>
        <v>-54</v>
      </c>
      <c r="AN26" s="33">
        <f t="shared" si="33"/>
        <v>-18.809000000000001</v>
      </c>
      <c r="AO26" s="34" t="str">
        <f t="shared" si="67"/>
        <v>3º 54' 18,809" S</v>
      </c>
      <c r="AP26" s="34" t="str">
        <f t="shared" si="68"/>
        <v>79º 34' 29,406" W</v>
      </c>
      <c r="AQ26" s="34" t="str">
        <f t="shared" si="36"/>
        <v>17 M 658236 9568215</v>
      </c>
    </row>
    <row r="27" spans="1:43">
      <c r="A27" s="54"/>
      <c r="B27" s="54"/>
      <c r="C27" s="54"/>
      <c r="D27" s="54"/>
      <c r="E27" s="20">
        <v>658235.69799999997</v>
      </c>
      <c r="F27" s="20">
        <v>9568214.5800000001</v>
      </c>
      <c r="G27" s="29" t="str">
        <f>H27</f>
        <v>M</v>
      </c>
      <c r="H27" s="30" t="str">
        <f>IF(AG27&lt;-72,"C",IF(AG27&lt;-64,"D",IF(AG27&lt;-56,"E",IF(AG27&lt;-48,"F",IF(AG27&lt;-40,"G",IF(AG27&lt;-32,"H",IF(AG27&lt;-24,"J",IF(AG27&lt;-16,"K",I27))))))))</f>
        <v>M</v>
      </c>
      <c r="I27" s="30" t="str">
        <f>IF(AG27&lt;-8,"L",IF(AG27&lt;0,"M",IF(AG27&lt;8,"N",IF(AG27&lt;16,"P",IF(AG27&lt;24,"Q",IF(AG27&lt;32,"R",IF(AG27&lt;40,"S",IF(AG27&lt;48,"T",J27))))))))</f>
        <v>M</v>
      </c>
      <c r="J27" s="30" t="str">
        <f>IF(AG27&lt;56,"U",IF(AG27&lt;64,"V",IF(AG27&lt;72,"W",IF(AG27&lt;84,"X","Polo Norte"))))</f>
        <v>U</v>
      </c>
      <c r="K27" s="12">
        <f t="shared" si="53"/>
        <v>-6.7851835900865659E-2</v>
      </c>
      <c r="L27" s="12">
        <f t="shared" si="5"/>
        <v>6375683.8447701288</v>
      </c>
      <c r="M27" s="12">
        <f t="shared" si="6"/>
        <v>-6.8159028819499243E-2</v>
      </c>
      <c r="N27" s="12">
        <f t="shared" si="7"/>
        <v>-81</v>
      </c>
      <c r="O27" s="12">
        <f t="shared" si="8"/>
        <v>-431785.41999999993</v>
      </c>
      <c r="P27" s="12">
        <f t="shared" si="9"/>
        <v>2.4818623672784243E-2</v>
      </c>
      <c r="Q27" s="12">
        <f t="shared" si="54"/>
        <v>-0.135287546953408</v>
      </c>
      <c r="R27" s="12">
        <f t="shared" si="55"/>
        <v>-0.13466565570196992</v>
      </c>
      <c r="S27" s="12">
        <f t="shared" si="56"/>
        <v>-0.13549560937756966</v>
      </c>
      <c r="T27" s="12">
        <f t="shared" si="57"/>
        <v>-0.13528812095866971</v>
      </c>
      <c r="U27" s="12">
        <f t="shared" si="58"/>
        <v>-0.27016240932009206</v>
      </c>
      <c r="V27" s="12">
        <f t="shared" si="15"/>
        <v>5.0546225567071803E-3</v>
      </c>
      <c r="W27" s="12">
        <f t="shared" si="59"/>
        <v>4.2582015317955055E-5</v>
      </c>
      <c r="X27" s="12">
        <f t="shared" si="60"/>
        <v>1.6740578955036711E-7</v>
      </c>
      <c r="Y27" s="12">
        <f t="shared" si="18"/>
        <v>-429705.85468323581</v>
      </c>
      <c r="Z27" s="12">
        <f t="shared" si="61"/>
        <v>-3.261713358748094E-4</v>
      </c>
      <c r="AA27" s="12">
        <f t="shared" si="20"/>
        <v>2.0661026161856418E-6</v>
      </c>
      <c r="AB27" s="12">
        <f t="shared" si="62"/>
        <v>2.4818606580176476E-2</v>
      </c>
      <c r="AC27" s="12">
        <f t="shared" si="63"/>
        <v>-6.8178006562837012E-2</v>
      </c>
      <c r="AD27" s="12">
        <f t="shared" si="64"/>
        <v>2.4821154550170921E-2</v>
      </c>
      <c r="AE27" s="12">
        <f t="shared" si="65"/>
        <v>2.4873822697870796E-2</v>
      </c>
      <c r="AF27" s="12">
        <f t="shared" si="66"/>
        <v>-6.8156981806812608E-2</v>
      </c>
      <c r="AG27" s="24">
        <f>+(M27/PI())*180</f>
        <v>-3.9052246870678524</v>
      </c>
      <c r="AH27" s="24">
        <f t="shared" si="27"/>
        <v>-79.574834939055293</v>
      </c>
      <c r="AI27" s="31">
        <f>TRUNC(AH27,0)</f>
        <v>-79</v>
      </c>
      <c r="AJ27" s="32">
        <f>TRUNC((AH27-AI27)*60,0)</f>
        <v>-34</v>
      </c>
      <c r="AK27" s="33">
        <f>ROUND((((AH27-AI27)*60)-AJ27)*60,3)</f>
        <v>-29.405999999999999</v>
      </c>
      <c r="AL27" s="31">
        <f t="shared" si="31"/>
        <v>-3</v>
      </c>
      <c r="AM27" s="32">
        <f t="shared" si="32"/>
        <v>-54</v>
      </c>
      <c r="AN27" s="33">
        <f t="shared" si="33"/>
        <v>-18.809000000000001</v>
      </c>
      <c r="AO27" s="34" t="str">
        <f t="shared" si="67"/>
        <v>3º 54' 18,809" S</v>
      </c>
      <c r="AP27" s="34" t="str">
        <f t="shared" si="68"/>
        <v>79º 34' 29,406" W</v>
      </c>
      <c r="AQ27" s="34" t="str">
        <f t="shared" si="36"/>
        <v>17 M 658236 9568215</v>
      </c>
    </row>
    <row r="28" spans="1:43">
      <c r="A28" s="54"/>
      <c r="B28" s="54"/>
      <c r="C28" s="54"/>
      <c r="D28" s="54"/>
      <c r="E28" s="20">
        <v>658235.69799999997</v>
      </c>
      <c r="F28" s="20">
        <v>9568214.5800000001</v>
      </c>
      <c r="G28" s="29" t="str">
        <f>H28</f>
        <v>M</v>
      </c>
      <c r="H28" s="30" t="str">
        <f>IF(AG28&lt;-72,"C",IF(AG28&lt;-64,"D",IF(AG28&lt;-56,"E",IF(AG28&lt;-48,"F",IF(AG28&lt;-40,"G",IF(AG28&lt;-32,"H",IF(AG28&lt;-24,"J",IF(AG28&lt;-16,"K",I28))))))))</f>
        <v>M</v>
      </c>
      <c r="I28" s="30" t="str">
        <f>IF(AG28&lt;-8,"L",IF(AG28&lt;0,"M",IF(AG28&lt;8,"N",IF(AG28&lt;16,"P",IF(AG28&lt;24,"Q",IF(AG28&lt;32,"R",IF(AG28&lt;40,"S",IF(AG28&lt;48,"T",J28))))))))</f>
        <v>M</v>
      </c>
      <c r="J28" s="30" t="str">
        <f>IF(AG28&lt;56,"U",IF(AG28&lt;64,"V",IF(AG28&lt;72,"W",IF(AG28&lt;84,"X","Polo Norte"))))</f>
        <v>U</v>
      </c>
      <c r="K28" s="12">
        <f t="shared" si="53"/>
        <v>-6.7851835900865659E-2</v>
      </c>
      <c r="L28" s="12">
        <f t="shared" si="5"/>
        <v>6375683.8447701288</v>
      </c>
      <c r="M28" s="12">
        <f t="shared" si="6"/>
        <v>-6.8159028819499243E-2</v>
      </c>
      <c r="N28" s="12">
        <f t="shared" si="7"/>
        <v>-81</v>
      </c>
      <c r="O28" s="12">
        <f t="shared" si="8"/>
        <v>-431785.41999999993</v>
      </c>
      <c r="P28" s="12">
        <f t="shared" si="9"/>
        <v>2.4818623672784243E-2</v>
      </c>
      <c r="Q28" s="12">
        <f t="shared" si="54"/>
        <v>-0.135287546953408</v>
      </c>
      <c r="R28" s="12">
        <f t="shared" si="55"/>
        <v>-0.13466565570196992</v>
      </c>
      <c r="S28" s="12">
        <f t="shared" si="56"/>
        <v>-0.13549560937756966</v>
      </c>
      <c r="T28" s="12">
        <f t="shared" si="57"/>
        <v>-0.13528812095866971</v>
      </c>
      <c r="U28" s="12">
        <f t="shared" si="58"/>
        <v>-0.27016240932009206</v>
      </c>
      <c r="V28" s="12">
        <f t="shared" si="15"/>
        <v>5.0546225567071803E-3</v>
      </c>
      <c r="W28" s="12">
        <f t="shared" si="59"/>
        <v>4.2582015317955055E-5</v>
      </c>
      <c r="X28" s="12">
        <f t="shared" si="60"/>
        <v>1.6740578955036711E-7</v>
      </c>
      <c r="Y28" s="12">
        <f t="shared" si="18"/>
        <v>-429705.85468323581</v>
      </c>
      <c r="Z28" s="12">
        <f t="shared" si="61"/>
        <v>-3.261713358748094E-4</v>
      </c>
      <c r="AA28" s="12">
        <f t="shared" si="20"/>
        <v>2.0661026161856418E-6</v>
      </c>
      <c r="AB28" s="12">
        <f t="shared" si="62"/>
        <v>2.4818606580176476E-2</v>
      </c>
      <c r="AC28" s="12">
        <f t="shared" si="63"/>
        <v>-6.8178006562837012E-2</v>
      </c>
      <c r="AD28" s="12">
        <f t="shared" si="64"/>
        <v>2.4821154550170921E-2</v>
      </c>
      <c r="AE28" s="12">
        <f t="shared" si="65"/>
        <v>2.4873822697870796E-2</v>
      </c>
      <c r="AF28" s="12">
        <f t="shared" si="66"/>
        <v>-6.8156981806812608E-2</v>
      </c>
      <c r="AG28" s="24">
        <f>+(M28/PI())*180</f>
        <v>-3.9052246870678524</v>
      </c>
      <c r="AH28" s="24">
        <f t="shared" si="27"/>
        <v>-79.574834939055293</v>
      </c>
      <c r="AI28" s="31">
        <f>TRUNC(AH28,0)</f>
        <v>-79</v>
      </c>
      <c r="AJ28" s="32">
        <f>TRUNC((AH28-AI28)*60,0)</f>
        <v>-34</v>
      </c>
      <c r="AK28" s="33">
        <f>ROUND((((AH28-AI28)*60)-AJ28)*60,3)</f>
        <v>-29.405999999999999</v>
      </c>
      <c r="AL28" s="31">
        <f t="shared" si="31"/>
        <v>-3</v>
      </c>
      <c r="AM28" s="32">
        <f t="shared" si="32"/>
        <v>-54</v>
      </c>
      <c r="AN28" s="33">
        <f t="shared" si="33"/>
        <v>-18.809000000000001</v>
      </c>
      <c r="AO28" s="34" t="str">
        <f t="shared" si="67"/>
        <v>3º 54' 18,809" S</v>
      </c>
      <c r="AP28" s="34" t="str">
        <f t="shared" si="68"/>
        <v>79º 34' 29,406" W</v>
      </c>
      <c r="AQ28" s="34" t="str">
        <f t="shared" si="36"/>
        <v>17 M 658236 9568215</v>
      </c>
    </row>
    <row r="29" spans="1:43">
      <c r="A29" s="54"/>
      <c r="B29" s="62" t="s">
        <v>47</v>
      </c>
      <c r="C29" s="63"/>
      <c r="D29" s="54"/>
      <c r="E29" s="20">
        <v>658235.69799999997</v>
      </c>
      <c r="F29" s="20">
        <v>9568214.5800000001</v>
      </c>
      <c r="G29" s="29" t="str">
        <f>H29</f>
        <v>M</v>
      </c>
      <c r="H29" s="30" t="str">
        <f>IF(AG29&lt;-72,"C",IF(AG29&lt;-64,"D",IF(AG29&lt;-56,"E",IF(AG29&lt;-48,"F",IF(AG29&lt;-40,"G",IF(AG29&lt;-32,"H",IF(AG29&lt;-24,"J",IF(AG29&lt;-16,"K",I29))))))))</f>
        <v>M</v>
      </c>
      <c r="I29" s="30" t="str">
        <f>IF(AG29&lt;-8,"L",IF(AG29&lt;0,"M",IF(AG29&lt;8,"N",IF(AG29&lt;16,"P",IF(AG29&lt;24,"Q",IF(AG29&lt;32,"R",IF(AG29&lt;40,"S",IF(AG29&lt;48,"T",J29))))))))</f>
        <v>M</v>
      </c>
      <c r="J29" s="30" t="str">
        <f>IF(AG29&lt;56,"U",IF(AG29&lt;64,"V",IF(AG29&lt;72,"W",IF(AG29&lt;84,"X","Polo Norte"))))</f>
        <v>U</v>
      </c>
      <c r="K29" s="12">
        <f t="shared" si="53"/>
        <v>-6.7851835900865659E-2</v>
      </c>
      <c r="L29" s="12">
        <f t="shared" si="5"/>
        <v>6375683.8447701288</v>
      </c>
      <c r="M29" s="12">
        <f t="shared" si="6"/>
        <v>-6.8159028819499243E-2</v>
      </c>
      <c r="N29" s="12">
        <f t="shared" si="7"/>
        <v>-81</v>
      </c>
      <c r="O29" s="12">
        <f t="shared" si="8"/>
        <v>-431785.41999999993</v>
      </c>
      <c r="P29" s="12">
        <f>(E29-500000)/L29</f>
        <v>2.4818623672784243E-2</v>
      </c>
      <c r="Q29" s="12">
        <f t="shared" si="54"/>
        <v>-0.135287546953408</v>
      </c>
      <c r="R29" s="12">
        <f t="shared" si="55"/>
        <v>-0.13466565570196992</v>
      </c>
      <c r="S29" s="12">
        <f t="shared" si="56"/>
        <v>-0.13549560937756966</v>
      </c>
      <c r="T29" s="12">
        <f t="shared" si="57"/>
        <v>-0.13528812095866971</v>
      </c>
      <c r="U29" s="12">
        <f t="shared" si="58"/>
        <v>-0.27016240932009206</v>
      </c>
      <c r="V29" s="12">
        <f t="shared" si="15"/>
        <v>5.0546225567071803E-3</v>
      </c>
      <c r="W29" s="12">
        <f t="shared" si="59"/>
        <v>4.2582015317955055E-5</v>
      </c>
      <c r="X29" s="12">
        <f t="shared" si="60"/>
        <v>1.6740578955036711E-7</v>
      </c>
      <c r="Y29" s="12">
        <f t="shared" si="18"/>
        <v>-429705.85468323581</v>
      </c>
      <c r="Z29" s="12">
        <f t="shared" si="61"/>
        <v>-3.261713358748094E-4</v>
      </c>
      <c r="AA29" s="12">
        <f t="shared" si="20"/>
        <v>2.0661026161856418E-6</v>
      </c>
      <c r="AB29" s="12">
        <f t="shared" si="62"/>
        <v>2.4818606580176476E-2</v>
      </c>
      <c r="AC29" s="12">
        <f t="shared" si="63"/>
        <v>-6.8178006562837012E-2</v>
      </c>
      <c r="AD29" s="12">
        <f t="shared" si="64"/>
        <v>2.4821154550170921E-2</v>
      </c>
      <c r="AE29" s="12">
        <f t="shared" si="65"/>
        <v>2.4873822697870796E-2</v>
      </c>
      <c r="AF29" s="12">
        <f t="shared" si="66"/>
        <v>-6.8156981806812608E-2</v>
      </c>
      <c r="AG29" s="24">
        <f>+(M29/PI())*180</f>
        <v>-3.9052246870678524</v>
      </c>
      <c r="AH29" s="24">
        <f>+(AE29/PI())*180+N29</f>
        <v>-79.574834939055293</v>
      </c>
      <c r="AI29" s="31">
        <f>TRUNC(AH29,0)</f>
        <v>-79</v>
      </c>
      <c r="AJ29" s="32">
        <f>TRUNC((AH29-AI29)*60,0)</f>
        <v>-34</v>
      </c>
      <c r="AK29" s="33">
        <f>ROUND((((AH29-AI29)*60)-AJ29)*60,3)</f>
        <v>-29.405999999999999</v>
      </c>
      <c r="AL29" s="31">
        <f>TRUNC(AG29,0)</f>
        <v>-3</v>
      </c>
      <c r="AM29" s="32">
        <f>TRUNC((AG29-AL29)*60,0)</f>
        <v>-54</v>
      </c>
      <c r="AN29" s="33">
        <f>ROUND((((AG29-AL29)*60)-AM29)*60,3)</f>
        <v>-18.809000000000001</v>
      </c>
      <c r="AO29" s="34" t="str">
        <f t="shared" si="67"/>
        <v>3º 54' 18,809" S</v>
      </c>
      <c r="AP29" s="34" t="str">
        <f t="shared" si="68"/>
        <v>79º 34' 29,406" W</v>
      </c>
      <c r="AQ29" s="34" t="str">
        <f t="shared" si="36"/>
        <v>17 M 658236 9568215</v>
      </c>
    </row>
    <row r="30" spans="1:43">
      <c r="A30" s="61" t="s">
        <v>48</v>
      </c>
      <c r="B30" s="61"/>
      <c r="C30" s="61"/>
      <c r="D30" s="61"/>
      <c r="E30" s="20">
        <v>658235.69799999997</v>
      </c>
      <c r="F30" s="20">
        <v>9568214.5800000001</v>
      </c>
      <c r="G30" s="29" t="str">
        <f>H30</f>
        <v>M</v>
      </c>
      <c r="H30" s="30" t="str">
        <f>IF(AG30&lt;-72,"C",IF(AG30&lt;-64,"D",IF(AG30&lt;-56,"E",IF(AG30&lt;-48,"F",IF(AG30&lt;-40,"G",IF(AG30&lt;-32,"H",IF(AG30&lt;-24,"J",IF(AG30&lt;-16,"K",I30))))))))</f>
        <v>M</v>
      </c>
      <c r="I30" s="30" t="str">
        <f>IF(AG30&lt;-8,"L",IF(AG30&lt;0,"M",IF(AG30&lt;8,"N",IF(AG30&lt;16,"P",IF(AG30&lt;24,"Q",IF(AG30&lt;32,"R",IF(AG30&lt;40,"S",IF(AG30&lt;48,"T",J30))))))))</f>
        <v>M</v>
      </c>
      <c r="J30" s="30" t="str">
        <f>IF(AG30&lt;56,"U",IF(AG30&lt;64,"V",IF(AG30&lt;72,"W",IF(AG30&lt;84,"X","Polo Norte"))))</f>
        <v>U</v>
      </c>
      <c r="K30" s="12">
        <f t="shared" si="53"/>
        <v>-6.7851835900865659E-2</v>
      </c>
      <c r="L30" s="12">
        <f t="shared" si="5"/>
        <v>6375683.8447701288</v>
      </c>
      <c r="M30" s="12">
        <f t="shared" si="6"/>
        <v>-6.8159028819499243E-2</v>
      </c>
      <c r="N30" s="12">
        <f t="shared" si="7"/>
        <v>-81</v>
      </c>
      <c r="O30" s="12">
        <f t="shared" si="8"/>
        <v>-431785.41999999993</v>
      </c>
      <c r="P30" s="12">
        <f>(E30-500000)/L30</f>
        <v>2.4818623672784243E-2</v>
      </c>
      <c r="Q30" s="12">
        <f t="shared" si="54"/>
        <v>-0.135287546953408</v>
      </c>
      <c r="R30" s="12">
        <f t="shared" si="55"/>
        <v>-0.13466565570196992</v>
      </c>
      <c r="S30" s="12">
        <f t="shared" si="56"/>
        <v>-0.13549560937756966</v>
      </c>
      <c r="T30" s="12">
        <f t="shared" si="57"/>
        <v>-0.13528812095866971</v>
      </c>
      <c r="U30" s="12">
        <f t="shared" si="58"/>
        <v>-0.27016240932009206</v>
      </c>
      <c r="V30" s="12">
        <f t="shared" si="15"/>
        <v>5.0546225567071803E-3</v>
      </c>
      <c r="W30" s="12">
        <f t="shared" si="59"/>
        <v>4.2582015317955055E-5</v>
      </c>
      <c r="X30" s="12">
        <f t="shared" si="60"/>
        <v>1.6740578955036711E-7</v>
      </c>
      <c r="Y30" s="12">
        <f t="shared" si="18"/>
        <v>-429705.85468323581</v>
      </c>
      <c r="Z30" s="12">
        <f t="shared" si="61"/>
        <v>-3.261713358748094E-4</v>
      </c>
      <c r="AA30" s="12">
        <f t="shared" si="20"/>
        <v>2.0661026161856418E-6</v>
      </c>
      <c r="AB30" s="12">
        <f t="shared" si="62"/>
        <v>2.4818606580176476E-2</v>
      </c>
      <c r="AC30" s="12">
        <f t="shared" si="63"/>
        <v>-6.8178006562837012E-2</v>
      </c>
      <c r="AD30" s="12">
        <f t="shared" si="64"/>
        <v>2.4821154550170921E-2</v>
      </c>
      <c r="AE30" s="12">
        <f t="shared" si="65"/>
        <v>2.4873822697870796E-2</v>
      </c>
      <c r="AF30" s="12">
        <f t="shared" si="66"/>
        <v>-6.8156981806812608E-2</v>
      </c>
      <c r="AG30" s="24">
        <f>+(M30/PI())*180</f>
        <v>-3.9052246870678524</v>
      </c>
      <c r="AH30" s="24">
        <f>+(AE30/PI())*180+N30</f>
        <v>-79.574834939055293</v>
      </c>
      <c r="AI30" s="31">
        <f>TRUNC(AH30,0)</f>
        <v>-79</v>
      </c>
      <c r="AJ30" s="32">
        <f>TRUNC((AH30-AI30)*60,0)</f>
        <v>-34</v>
      </c>
      <c r="AK30" s="33">
        <f>ROUND((((AH30-AI30)*60)-AJ30)*60,3)</f>
        <v>-29.405999999999999</v>
      </c>
      <c r="AL30" s="31">
        <f>TRUNC(AG30,0)</f>
        <v>-3</v>
      </c>
      <c r="AM30" s="32">
        <f>TRUNC((AG30-AL30)*60,0)</f>
        <v>-54</v>
      </c>
      <c r="AN30" s="33">
        <f>ROUND((((AG30-AL30)*60)-AM30)*60,3)</f>
        <v>-18.809000000000001</v>
      </c>
      <c r="AO30" s="34" t="str">
        <f t="shared" si="67"/>
        <v>3º 54' 18,809" S</v>
      </c>
      <c r="AP30" s="34" t="str">
        <f t="shared" si="68"/>
        <v>79º 34' 29,406" W</v>
      </c>
      <c r="AQ30" s="34" t="str">
        <f t="shared" si="36"/>
        <v>17 M 658236 9568215</v>
      </c>
    </row>
    <row r="31" spans="1:43">
      <c r="A31" s="61"/>
      <c r="B31" s="61"/>
      <c r="C31" s="61"/>
      <c r="D31" s="61"/>
      <c r="E31" s="20">
        <v>658235.69799999997</v>
      </c>
      <c r="F31" s="20">
        <v>9568214.5800000001</v>
      </c>
      <c r="G31" s="29" t="str">
        <f>H31</f>
        <v>M</v>
      </c>
      <c r="H31" s="30" t="str">
        <f>IF(AG31&lt;-72,"C",IF(AG31&lt;-64,"D",IF(AG31&lt;-56,"E",IF(AG31&lt;-48,"F",IF(AG31&lt;-40,"G",IF(AG31&lt;-32,"H",IF(AG31&lt;-24,"J",IF(AG31&lt;-16,"K",I31))))))))</f>
        <v>M</v>
      </c>
      <c r="I31" s="30" t="str">
        <f>IF(AG31&lt;-8,"L",IF(AG31&lt;0,"M",IF(AG31&lt;8,"N",IF(AG31&lt;16,"P",IF(AG31&lt;24,"Q",IF(AG31&lt;32,"R",IF(AG31&lt;40,"S",IF(AG31&lt;48,"T",J31))))))))</f>
        <v>M</v>
      </c>
      <c r="J31" s="30" t="str">
        <f>IF(AG31&lt;56,"U",IF(AG31&lt;64,"V",IF(AG31&lt;72,"W",IF(AG31&lt;84,"X","Polo Norte"))))</f>
        <v>U</v>
      </c>
      <c r="K31" s="12">
        <f t="shared" si="53"/>
        <v>-6.7851835900865659E-2</v>
      </c>
      <c r="L31" s="12">
        <f t="shared" si="5"/>
        <v>6375683.8447701288</v>
      </c>
      <c r="M31" s="12">
        <f t="shared" si="6"/>
        <v>-6.8159028819499243E-2</v>
      </c>
      <c r="N31" s="12">
        <f t="shared" si="7"/>
        <v>-81</v>
      </c>
      <c r="O31" s="12">
        <f t="shared" si="8"/>
        <v>-431785.41999999993</v>
      </c>
      <c r="P31" s="12">
        <f>(E31-500000)/L31</f>
        <v>2.4818623672784243E-2</v>
      </c>
      <c r="Q31" s="12">
        <f t="shared" si="54"/>
        <v>-0.135287546953408</v>
      </c>
      <c r="R31" s="12">
        <f t="shared" si="55"/>
        <v>-0.13466565570196992</v>
      </c>
      <c r="S31" s="12">
        <f t="shared" si="56"/>
        <v>-0.13549560937756966</v>
      </c>
      <c r="T31" s="12">
        <f t="shared" si="57"/>
        <v>-0.13528812095866971</v>
      </c>
      <c r="U31" s="12">
        <f t="shared" si="58"/>
        <v>-0.27016240932009206</v>
      </c>
      <c r="V31" s="12">
        <f t="shared" si="15"/>
        <v>5.0546225567071803E-3</v>
      </c>
      <c r="W31" s="12">
        <f t="shared" si="59"/>
        <v>4.2582015317955055E-5</v>
      </c>
      <c r="X31" s="12">
        <f t="shared" si="60"/>
        <v>1.6740578955036711E-7</v>
      </c>
      <c r="Y31" s="12">
        <f t="shared" si="18"/>
        <v>-429705.85468323581</v>
      </c>
      <c r="Z31" s="12">
        <f t="shared" si="61"/>
        <v>-3.261713358748094E-4</v>
      </c>
      <c r="AA31" s="12">
        <f t="shared" si="20"/>
        <v>2.0661026161856418E-6</v>
      </c>
      <c r="AB31" s="12">
        <f t="shared" si="62"/>
        <v>2.4818606580176476E-2</v>
      </c>
      <c r="AC31" s="12">
        <f t="shared" si="63"/>
        <v>-6.8178006562837012E-2</v>
      </c>
      <c r="AD31" s="12">
        <f t="shared" si="64"/>
        <v>2.4821154550170921E-2</v>
      </c>
      <c r="AE31" s="12">
        <f t="shared" si="65"/>
        <v>2.4873822697870796E-2</v>
      </c>
      <c r="AF31" s="12">
        <f t="shared" si="66"/>
        <v>-6.8156981806812608E-2</v>
      </c>
      <c r="AG31" s="24">
        <f>+(M31/PI())*180</f>
        <v>-3.9052246870678524</v>
      </c>
      <c r="AH31" s="24">
        <f>+(AE31/PI())*180+N31</f>
        <v>-79.574834939055293</v>
      </c>
      <c r="AI31" s="31">
        <f>TRUNC(AH31,0)</f>
        <v>-79</v>
      </c>
      <c r="AJ31" s="32">
        <f>TRUNC((AH31-AI31)*60,0)</f>
        <v>-34</v>
      </c>
      <c r="AK31" s="33">
        <f>ROUND((((AH31-AI31)*60)-AJ31)*60,3)</f>
        <v>-29.405999999999999</v>
      </c>
      <c r="AL31" s="31">
        <f>TRUNC(AG31,0)</f>
        <v>-3</v>
      </c>
      <c r="AM31" s="32">
        <f>TRUNC((AG31-AL31)*60,0)</f>
        <v>-54</v>
      </c>
      <c r="AN31" s="33">
        <f>ROUND((((AG31-AL31)*60)-AM31)*60,3)</f>
        <v>-18.809000000000001</v>
      </c>
      <c r="AO31" s="34" t="str">
        <f t="shared" si="67"/>
        <v>3º 54' 18,809" S</v>
      </c>
      <c r="AP31" s="34" t="str">
        <f t="shared" si="68"/>
        <v>79º 34' 29,406" W</v>
      </c>
      <c r="AQ31" s="34" t="str">
        <f t="shared" si="36"/>
        <v>17 M 658236 9568215</v>
      </c>
    </row>
  </sheetData>
  <mergeCells count="8">
    <mergeCell ref="AO3:AP3"/>
    <mergeCell ref="E3:G3"/>
    <mergeCell ref="E2:F2"/>
    <mergeCell ref="A30:D31"/>
    <mergeCell ref="B29:C29"/>
    <mergeCell ref="B24:C24"/>
    <mergeCell ref="AG3:AH3"/>
    <mergeCell ref="B15:C15"/>
  </mergeCells>
  <phoneticPr fontId="16" type="noConversion"/>
  <dataValidations disablePrompts="1" count="2">
    <dataValidation type="list" allowBlank="1" showInputMessage="1" showErrorMessage="1" errorTitle="Atención:" error="Introduce CON MAYÚSCULAS uno de estos dos valores:_x000a_- N, si las coordenadas a convertir están en el hemisferio Norte._x000a_- S, si las coordenadas a convertir están en el hemisferio Sur." sqref="C26" xr:uid="{00000000-0002-0000-0000-000000000000}">
      <formula1>"N,S"</formula1>
    </dataValidation>
    <dataValidation type="whole" allowBlank="1" showInputMessage="1" showErrorMessage="1" errorTitle="Atención:" error="El Huso o Zona UTM debe ser un valor entero comprendido entre el 1 y el 60." sqref="C25" xr:uid="{00000000-0002-0000-0000-000001000000}">
      <formula1>1</formula1>
      <formula2>60</formula2>
    </dataValidation>
  </dataValidations>
  <hyperlinks>
    <hyperlink ref="B29" r:id="rId1" xr:uid="{00000000-0004-0000-0000-000000000000}"/>
  </hyperlinks>
  <pageMargins left="0.75" right="0.75" top="1" bottom="1" header="0" footer="0"/>
  <pageSetup paperSize="122" orientation="portrait" r:id="rId2"/>
  <headerFooter alignWithMargins="0"/>
  <drawing r:id="rId3"/>
  <legacy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AO31"/>
  <sheetViews>
    <sheetView tabSelected="1" zoomScaleNormal="100" workbookViewId="0">
      <selection activeCell="B5" sqref="B5"/>
    </sheetView>
  </sheetViews>
  <sheetFormatPr defaultColWidth="11.42578125" defaultRowHeight="15"/>
  <cols>
    <col min="1" max="1" width="2.7109375" style="11" customWidth="1"/>
    <col min="2" max="2" width="25" style="11" bestFit="1" customWidth="1"/>
    <col min="3" max="3" width="13.7109375" style="11" customWidth="1"/>
    <col min="4" max="4" width="11.140625" style="11" customWidth="1"/>
    <col min="5" max="6" width="14.7109375" style="34" customWidth="1"/>
    <col min="7" max="7" width="17.5703125" style="12" hidden="1" customWidth="1"/>
    <col min="8" max="8" width="15.7109375" style="12" hidden="1" customWidth="1"/>
    <col min="9" max="9" width="13.42578125" style="12" hidden="1" customWidth="1"/>
    <col min="10" max="10" width="15.7109375" style="12" hidden="1" customWidth="1"/>
    <col min="11" max="11" width="13.7109375" style="12" hidden="1" customWidth="1"/>
    <col min="12" max="13" width="12" style="12" hidden="1" customWidth="1"/>
    <col min="14" max="14" width="12.5703125" style="12" hidden="1" customWidth="1"/>
    <col min="15" max="15" width="12" style="12" hidden="1" customWidth="1"/>
    <col min="16" max="16" width="12.42578125" style="12" hidden="1" customWidth="1"/>
    <col min="17" max="21" width="12.5703125" style="12" hidden="1" customWidth="1"/>
    <col min="22" max="22" width="12" style="12" hidden="1" customWidth="1"/>
    <col min="23" max="23" width="11.42578125" style="12" hidden="1" customWidth="1"/>
    <col min="24" max="24" width="12.42578125" style="12" hidden="1" customWidth="1"/>
    <col min="25" max="25" width="11.5703125" style="12" hidden="1" customWidth="1"/>
    <col min="26" max="28" width="15.5703125" style="12" hidden="1" customWidth="1"/>
    <col min="29" max="30" width="12.7109375" style="23" customWidth="1"/>
    <col min="31" max="32" width="6.7109375" style="23" customWidth="1"/>
    <col min="33" max="33" width="5.28515625" style="11" hidden="1" customWidth="1"/>
    <col min="34" max="34" width="3.42578125" style="11" hidden="1" customWidth="1"/>
    <col min="35" max="35" width="6.7109375" style="11" hidden="1" customWidth="1"/>
    <col min="36" max="36" width="9.5703125" style="11" hidden="1" customWidth="1"/>
    <col min="37" max="37" width="5.140625" style="11" hidden="1" customWidth="1"/>
    <col min="38" max="38" width="8.5703125" style="11" hidden="1" customWidth="1"/>
    <col min="39" max="40" width="16.5703125" style="11" customWidth="1"/>
    <col min="41" max="41" width="21.28515625" style="11" bestFit="1" customWidth="1"/>
    <col min="42" max="16384" width="11.42578125" style="11"/>
  </cols>
  <sheetData>
    <row r="1" spans="2:41" ht="18.75">
      <c r="B1" s="10" t="s">
        <v>49</v>
      </c>
      <c r="C1" s="54"/>
      <c r="D1" s="54"/>
      <c r="AG1" s="54"/>
      <c r="AH1" s="54"/>
      <c r="AI1" s="54"/>
      <c r="AJ1" s="54"/>
      <c r="AK1" s="54"/>
      <c r="AL1" s="54"/>
      <c r="AM1" s="54"/>
      <c r="AN1" s="54"/>
      <c r="AO1" s="54"/>
    </row>
    <row r="2" spans="2:41" ht="15" customHeight="1">
      <c r="B2" s="35"/>
      <c r="C2" s="54"/>
      <c r="D2" s="54"/>
      <c r="E2" s="60" t="s">
        <v>1</v>
      </c>
      <c r="F2" s="60"/>
      <c r="AG2" s="54"/>
      <c r="AH2" s="54"/>
      <c r="AI2" s="54"/>
      <c r="AJ2" s="54"/>
      <c r="AK2" s="54"/>
      <c r="AL2" s="54"/>
      <c r="AM2" s="54"/>
      <c r="AN2" s="54"/>
      <c r="AO2" s="54"/>
    </row>
    <row r="3" spans="2:41">
      <c r="B3" s="13"/>
      <c r="C3" s="54"/>
      <c r="D3" s="54"/>
      <c r="E3" s="57" t="s">
        <v>3</v>
      </c>
      <c r="F3" s="59"/>
      <c r="AC3" s="65" t="s">
        <v>2</v>
      </c>
      <c r="AD3" s="66"/>
      <c r="AE3" s="66"/>
      <c r="AF3" s="66"/>
      <c r="AG3" s="54"/>
      <c r="AH3" s="54"/>
      <c r="AI3" s="54"/>
      <c r="AJ3" s="54"/>
      <c r="AK3" s="54"/>
      <c r="AL3" s="54"/>
      <c r="AM3" s="56" t="s">
        <v>4</v>
      </c>
      <c r="AN3" s="56"/>
      <c r="AO3" s="54"/>
    </row>
    <row r="4" spans="2:41">
      <c r="B4" s="54"/>
      <c r="C4" s="54"/>
      <c r="D4" s="13"/>
      <c r="E4" s="47" t="s">
        <v>33</v>
      </c>
      <c r="F4" s="47" t="s">
        <v>34</v>
      </c>
      <c r="G4" s="36" t="s">
        <v>50</v>
      </c>
      <c r="H4" s="36" t="s">
        <v>51</v>
      </c>
      <c r="I4" s="36" t="s">
        <v>52</v>
      </c>
      <c r="J4" s="36" t="s">
        <v>53</v>
      </c>
      <c r="K4" s="36" t="s">
        <v>31</v>
      </c>
      <c r="L4" s="36" t="s">
        <v>54</v>
      </c>
      <c r="M4" s="36" t="s">
        <v>28</v>
      </c>
      <c r="N4" s="36" t="s">
        <v>29</v>
      </c>
      <c r="O4" s="36" t="s">
        <v>12</v>
      </c>
      <c r="P4" s="36" t="s">
        <v>27</v>
      </c>
      <c r="Q4" s="36" t="s">
        <v>17</v>
      </c>
      <c r="R4" s="36" t="s">
        <v>18</v>
      </c>
      <c r="S4" s="36" t="s">
        <v>19</v>
      </c>
      <c r="T4" s="36" t="s">
        <v>20</v>
      </c>
      <c r="U4" s="36" t="s">
        <v>21</v>
      </c>
      <c r="V4" s="36" t="s">
        <v>22</v>
      </c>
      <c r="W4" s="36" t="s">
        <v>23</v>
      </c>
      <c r="X4" s="36" t="s">
        <v>24</v>
      </c>
      <c r="Y4" s="36" t="s">
        <v>25</v>
      </c>
      <c r="Z4" s="16" t="s">
        <v>8</v>
      </c>
      <c r="AA4" s="16" t="s">
        <v>9</v>
      </c>
      <c r="AB4" s="16" t="s">
        <v>10</v>
      </c>
      <c r="AC4" s="15" t="s">
        <v>55</v>
      </c>
      <c r="AD4" s="15" t="s">
        <v>56</v>
      </c>
      <c r="AE4" s="15" t="s">
        <v>57</v>
      </c>
      <c r="AF4" s="15" t="s">
        <v>58</v>
      </c>
      <c r="AG4" s="14"/>
      <c r="AH4" s="14"/>
      <c r="AI4" s="14"/>
      <c r="AJ4" s="14"/>
      <c r="AK4" s="14"/>
      <c r="AL4" s="14"/>
      <c r="AM4" s="53" t="s">
        <v>33</v>
      </c>
      <c r="AN4" s="53" t="s">
        <v>34</v>
      </c>
      <c r="AO4" s="53" t="s">
        <v>35</v>
      </c>
    </row>
    <row r="5" spans="2:41" s="23" customFormat="1">
      <c r="E5" s="41">
        <v>-3.9052246870678524</v>
      </c>
      <c r="F5" s="41">
        <v>-79.574834939055293</v>
      </c>
      <c r="G5" s="37">
        <f t="shared" ref="G5:G26" si="0">F5*PI()/180</f>
        <v>-1.3888428714175363</v>
      </c>
      <c r="H5" s="37">
        <f>E5*PI()/180</f>
        <v>-6.8159028819499243E-2</v>
      </c>
      <c r="I5" s="37">
        <f t="shared" ref="I5:I26" si="1">TRUNC((F5/6)+31)</f>
        <v>17</v>
      </c>
      <c r="J5" s="37">
        <f t="shared" ref="J5:J26" si="2">6*I5-183</f>
        <v>-81</v>
      </c>
      <c r="K5" s="37">
        <f>+G5-((J5*PI())/180)</f>
        <v>2.487382269787064E-2</v>
      </c>
      <c r="L5" s="37">
        <f>COS(H5)*SIN(K5)</f>
        <v>2.4813508584984312E-2</v>
      </c>
      <c r="M5" s="37">
        <f t="shared" ref="M5:M26" si="3">(1/2)*LN((1+L5)/(1-L5))</f>
        <v>2.4818603110680883E-2</v>
      </c>
      <c r="N5" s="37">
        <f>ATAN((TAN(H5))/COS(K5))-H5</f>
        <v>-2.102538355960859E-5</v>
      </c>
      <c r="O5" s="37">
        <f t="shared" ref="O5:O31" si="4">($C$22/(1+$C$21*(COS(H5))^2)^(1/2))*0.9996</f>
        <v>6375684.7336960351</v>
      </c>
      <c r="P5" s="37">
        <f t="shared" ref="P5:P31" si="5">($C$21/2)*M5^2*(COS(H5))^2</f>
        <v>2.0660127362836716E-6</v>
      </c>
      <c r="Q5" s="37">
        <f>SIN(2*H5)</f>
        <v>-0.13589625878803277</v>
      </c>
      <c r="R5" s="37">
        <f>+Q5*(COS(H5))^2</f>
        <v>-0.1352659089337809</v>
      </c>
      <c r="S5" s="37">
        <f>H5+(Q5/2)</f>
        <v>-0.13610715821351563</v>
      </c>
      <c r="T5" s="37">
        <f>((3*S5)+R5)/4</f>
        <v>-0.13589684589358195</v>
      </c>
      <c r="U5" s="37">
        <f>(5*T5+R5*(COS(H5))^2)/3</f>
        <v>-0.27137423746743794</v>
      </c>
      <c r="V5" s="37">
        <f t="shared" ref="V5:V31" si="6">(3/4)*$C$21</f>
        <v>5.0546225567071803E-3</v>
      </c>
      <c r="W5" s="37">
        <f t="shared" ref="W5:W26" si="7">(5/3)*V5^2</f>
        <v>4.2582015317955055E-5</v>
      </c>
      <c r="X5" s="37">
        <f>(35/27)*V5^3</f>
        <v>1.6740578955036711E-7</v>
      </c>
      <c r="Y5" s="37">
        <f t="shared" ref="Y5:Y31" si="8">0.9996*$C$22*(H5-(V5*S5)+(W5*T5)-(X5*U5))</f>
        <v>-431651.3684996714</v>
      </c>
      <c r="Z5" s="22" t="str">
        <f t="shared" ref="Z5:Z26" si="9">IF(E5&lt;-72,"C",IF(E5&lt;-64,"D",IF(E5&lt;-56,"E",IF(E5&lt;-48,"F",IF(E5&lt;-40,"G",IF(E5&lt;-32,"H",IF(E5&lt;-24,"J",IF(E5&lt;-16,"K",AA5))))))))</f>
        <v>M</v>
      </c>
      <c r="AA5" s="22" t="str">
        <f t="shared" ref="AA5:AA26" si="10">IF(E5&lt;-8,"L",IF(E5&lt;0,"M",IF(E5&lt;8,"N",IF(E5&lt;16,"P",IF(E5&lt;24,"Q",IF(E5&lt;32,"R",IF(E5&lt;40,"S",IF(E5&lt;48,"T","no"))))))))</f>
        <v>M</v>
      </c>
      <c r="AB5" s="22" t="str">
        <f t="shared" ref="AB5:AB26" si="11">IF(E5&lt;56,"U",IF(E5&lt;64,"V",IF(E5&lt;72,"W",IF(E5&lt;84,"X","no"))))</f>
        <v>U</v>
      </c>
      <c r="AC5" s="38">
        <f>M5*O5*(1+P5/3)+500000</f>
        <v>658235.69793667644</v>
      </c>
      <c r="AD5" s="38">
        <f t="shared" ref="AD5:AD31" si="12">IF($C$25="S",N5*O5*(1+P5)+Y5+10000000,N5*O5*(1+P5)+Y5)</f>
        <v>9568214.5800063964</v>
      </c>
      <c r="AE5" s="39">
        <f t="shared" ref="AE5:AE23" si="13">I5</f>
        <v>17</v>
      </c>
      <c r="AF5" s="39" t="str">
        <f t="shared" ref="AF5:AF23" si="14">IF(E5&lt;-16,Z5,IF(E5&lt;48,AA5,IF(E5&lt;84,AB5,"MALO")))</f>
        <v>M</v>
      </c>
      <c r="AG5" s="25">
        <f t="shared" ref="AG5:AG23" si="15">TRUNC(F5,0)</f>
        <v>-79</v>
      </c>
      <c r="AH5" s="26">
        <f t="shared" ref="AH5:AH23" si="16">TRUNC((F5-AG5)*60,0)</f>
        <v>-34</v>
      </c>
      <c r="AI5" s="27">
        <f t="shared" ref="AI5:AI23" si="17">ROUND((((F5-AG5)*60)-AH5)*60,3)</f>
        <v>-29.405999999999999</v>
      </c>
      <c r="AJ5" s="25">
        <f t="shared" ref="AJ5:AJ23" si="18">TRUNC(E5,0)</f>
        <v>-3</v>
      </c>
      <c r="AK5" s="26">
        <f t="shared" ref="AK5:AK23" si="19">TRUNC((E5-AJ5)*60,0)</f>
        <v>-54</v>
      </c>
      <c r="AL5" s="27">
        <f t="shared" ref="AL5:AL23" si="20">ROUND((((E5-AJ5)*60)-AK5)*60,3)</f>
        <v>-18.809000000000001</v>
      </c>
      <c r="AM5" s="13" t="str">
        <f t="shared" ref="AM5:AM23" si="21">CONCATENATE(-AJ5,"º ",-AK5,"' ",-AL5,""" S")</f>
        <v>3º 54' 18,809" S</v>
      </c>
      <c r="AN5" s="13" t="str">
        <f t="shared" ref="AN5:AN23" si="22">CONCATENATE(-AG5,"º ",-AH5,"' ",-AI5,""" W")</f>
        <v>79º 34' 29,406" W</v>
      </c>
      <c r="AO5" s="13" t="str">
        <f t="shared" ref="AO5:AO23" si="23">CONCATENATE(AE5," ",AF5," ",ROUND(AC5,0)," ",ROUND(AD5,0))</f>
        <v>17 M 658236 9568215</v>
      </c>
    </row>
    <row r="6" spans="2:41">
      <c r="B6" s="54"/>
      <c r="C6" s="54"/>
      <c r="D6" s="54"/>
      <c r="E6" s="41">
        <v>-3.9052246870678524</v>
      </c>
      <c r="F6" s="41">
        <v>-79.574834939055293</v>
      </c>
      <c r="G6" s="37">
        <f t="shared" si="0"/>
        <v>-1.3888428714175363</v>
      </c>
      <c r="H6" s="37">
        <f>E6*PI()/180</f>
        <v>-6.8159028819499243E-2</v>
      </c>
      <c r="I6" s="37">
        <f t="shared" si="1"/>
        <v>17</v>
      </c>
      <c r="J6" s="37">
        <f t="shared" si="2"/>
        <v>-81</v>
      </c>
      <c r="K6" s="37">
        <f>+G6-((J6*PI())/180)</f>
        <v>2.487382269787064E-2</v>
      </c>
      <c r="L6" s="37">
        <f>COS(H6)*SIN(K6)</f>
        <v>2.4813508584984312E-2</v>
      </c>
      <c r="M6" s="37">
        <f t="shared" si="3"/>
        <v>2.4818603110680883E-2</v>
      </c>
      <c r="N6" s="37">
        <f>ATAN((TAN(H6))/COS(K6))-H6</f>
        <v>-2.102538355960859E-5</v>
      </c>
      <c r="O6" s="37">
        <f t="shared" si="4"/>
        <v>6375684.7336960351</v>
      </c>
      <c r="P6" s="37">
        <f t="shared" si="5"/>
        <v>2.0660127362836716E-6</v>
      </c>
      <c r="Q6" s="37">
        <f>SIN(2*H6)</f>
        <v>-0.13589625878803277</v>
      </c>
      <c r="R6" s="37">
        <f>+Q6*(COS(H6))^2</f>
        <v>-0.1352659089337809</v>
      </c>
      <c r="S6" s="37">
        <f>H6+(Q6/2)</f>
        <v>-0.13610715821351563</v>
      </c>
      <c r="T6" s="37">
        <f>((3*S6)+R6)/4</f>
        <v>-0.13589684589358195</v>
      </c>
      <c r="U6" s="37">
        <f>(5*T6+R6*(COS(H6))^2)/3</f>
        <v>-0.27137423746743794</v>
      </c>
      <c r="V6" s="37">
        <f t="shared" si="6"/>
        <v>5.0546225567071803E-3</v>
      </c>
      <c r="W6" s="37">
        <f t="shared" si="7"/>
        <v>4.2582015317955055E-5</v>
      </c>
      <c r="X6" s="37">
        <f>(35/27)*V6^3</f>
        <v>1.6740578955036711E-7</v>
      </c>
      <c r="Y6" s="37">
        <f t="shared" si="8"/>
        <v>-431651.3684996714</v>
      </c>
      <c r="Z6" s="22" t="str">
        <f t="shared" si="9"/>
        <v>M</v>
      </c>
      <c r="AA6" s="22" t="str">
        <f t="shared" si="10"/>
        <v>M</v>
      </c>
      <c r="AB6" s="22" t="str">
        <f t="shared" si="11"/>
        <v>U</v>
      </c>
      <c r="AC6" s="38">
        <f>M6*O6*(1+P6/3)+500000</f>
        <v>658235.69793667644</v>
      </c>
      <c r="AD6" s="38">
        <f t="shared" si="12"/>
        <v>9568214.5800063964</v>
      </c>
      <c r="AE6" s="39">
        <f t="shared" si="13"/>
        <v>17</v>
      </c>
      <c r="AF6" s="39" t="str">
        <f t="shared" si="14"/>
        <v>M</v>
      </c>
      <c r="AG6" s="31">
        <f t="shared" si="15"/>
        <v>-79</v>
      </c>
      <c r="AH6" s="32">
        <f t="shared" si="16"/>
        <v>-34</v>
      </c>
      <c r="AI6" s="33">
        <f t="shared" si="17"/>
        <v>-29.405999999999999</v>
      </c>
      <c r="AJ6" s="31">
        <f t="shared" si="18"/>
        <v>-3</v>
      </c>
      <c r="AK6" s="32">
        <f t="shared" si="19"/>
        <v>-54</v>
      </c>
      <c r="AL6" s="33">
        <f t="shared" si="20"/>
        <v>-18.809000000000001</v>
      </c>
      <c r="AM6" s="34" t="str">
        <f t="shared" si="21"/>
        <v>3º 54' 18,809" S</v>
      </c>
      <c r="AN6" s="34" t="str">
        <f t="shared" si="22"/>
        <v>79º 34' 29,406" W</v>
      </c>
      <c r="AO6" s="34" t="str">
        <f t="shared" si="23"/>
        <v>17 M 658236 9568215</v>
      </c>
    </row>
    <row r="7" spans="2:41">
      <c r="B7" s="54"/>
      <c r="C7" s="54"/>
      <c r="D7" s="54"/>
      <c r="E7" s="41">
        <v>-3.9052246870678524</v>
      </c>
      <c r="F7" s="41">
        <v>-79.574834939055293</v>
      </c>
      <c r="G7" s="40">
        <f t="shared" si="0"/>
        <v>-1.3888428714175363</v>
      </c>
      <c r="H7" s="40">
        <f>E7*PI()/180</f>
        <v>-6.8159028819499243E-2</v>
      </c>
      <c r="I7" s="40">
        <f t="shared" si="1"/>
        <v>17</v>
      </c>
      <c r="J7" s="40">
        <f t="shared" si="2"/>
        <v>-81</v>
      </c>
      <c r="K7" s="40">
        <f>+G7-((J7*PI())/180)</f>
        <v>2.487382269787064E-2</v>
      </c>
      <c r="L7" s="40">
        <f>COS(H7)*SIN(K7)</f>
        <v>2.4813508584984312E-2</v>
      </c>
      <c r="M7" s="40">
        <f t="shared" si="3"/>
        <v>2.4818603110680883E-2</v>
      </c>
      <c r="N7" s="40">
        <f>ATAN((TAN(H7))/COS(K7))-H7</f>
        <v>-2.102538355960859E-5</v>
      </c>
      <c r="O7" s="40">
        <f t="shared" si="4"/>
        <v>6375684.7336960351</v>
      </c>
      <c r="P7" s="40">
        <f t="shared" si="5"/>
        <v>2.0660127362836716E-6</v>
      </c>
      <c r="Q7" s="40">
        <f>SIN(2*H7)</f>
        <v>-0.13589625878803277</v>
      </c>
      <c r="R7" s="40">
        <f>+Q7*(COS(H7))^2</f>
        <v>-0.1352659089337809</v>
      </c>
      <c r="S7" s="40">
        <f>H7+(Q7/2)</f>
        <v>-0.13610715821351563</v>
      </c>
      <c r="T7" s="40">
        <f>((3*S7)+R7)/4</f>
        <v>-0.13589684589358195</v>
      </c>
      <c r="U7" s="40">
        <f>(5*T7+R7*(COS(H7))^2)/3</f>
        <v>-0.27137423746743794</v>
      </c>
      <c r="V7" s="40">
        <f t="shared" si="6"/>
        <v>5.0546225567071803E-3</v>
      </c>
      <c r="W7" s="40">
        <f t="shared" si="7"/>
        <v>4.2582015317955055E-5</v>
      </c>
      <c r="X7" s="40">
        <f>(35/27)*V7^3</f>
        <v>1.6740578955036711E-7</v>
      </c>
      <c r="Y7" s="40">
        <f t="shared" si="8"/>
        <v>-431651.3684996714</v>
      </c>
      <c r="Z7" s="30" t="str">
        <f t="shared" si="9"/>
        <v>M</v>
      </c>
      <c r="AA7" s="30" t="str">
        <f t="shared" si="10"/>
        <v>M</v>
      </c>
      <c r="AB7" s="30" t="str">
        <f t="shared" si="11"/>
        <v>U</v>
      </c>
      <c r="AC7" s="38">
        <f>M7*O7*(1+P7/3)+500000</f>
        <v>658235.69793667644</v>
      </c>
      <c r="AD7" s="38">
        <f t="shared" si="12"/>
        <v>9568214.5800063964</v>
      </c>
      <c r="AE7" s="39">
        <f t="shared" si="13"/>
        <v>17</v>
      </c>
      <c r="AF7" s="39" t="str">
        <f t="shared" si="14"/>
        <v>M</v>
      </c>
      <c r="AG7" s="31">
        <f t="shared" si="15"/>
        <v>-79</v>
      </c>
      <c r="AH7" s="32">
        <f t="shared" si="16"/>
        <v>-34</v>
      </c>
      <c r="AI7" s="33">
        <f t="shared" si="17"/>
        <v>-29.405999999999999</v>
      </c>
      <c r="AJ7" s="31">
        <f t="shared" si="18"/>
        <v>-3</v>
      </c>
      <c r="AK7" s="32">
        <f t="shared" si="19"/>
        <v>-54</v>
      </c>
      <c r="AL7" s="33">
        <f t="shared" si="20"/>
        <v>-18.809000000000001</v>
      </c>
      <c r="AM7" s="34" t="str">
        <f t="shared" si="21"/>
        <v>3º 54' 18,809" S</v>
      </c>
      <c r="AN7" s="34" t="str">
        <f t="shared" si="22"/>
        <v>79º 34' 29,406" W</v>
      </c>
      <c r="AO7" s="34" t="str">
        <f t="shared" si="23"/>
        <v>17 M 658236 9568215</v>
      </c>
    </row>
    <row r="8" spans="2:41">
      <c r="B8" s="54"/>
      <c r="C8" s="54"/>
      <c r="D8" s="54"/>
      <c r="E8" s="41">
        <v>-3.9052246870678524</v>
      </c>
      <c r="F8" s="41">
        <v>-79.574834939055293</v>
      </c>
      <c r="G8" s="40">
        <f t="shared" si="0"/>
        <v>-1.3888428714175363</v>
      </c>
      <c r="H8" s="40">
        <f t="shared" ref="H8:H14" si="24">E8*PI()/180</f>
        <v>-6.8159028819499243E-2</v>
      </c>
      <c r="I8" s="40">
        <f t="shared" si="1"/>
        <v>17</v>
      </c>
      <c r="J8" s="40">
        <f t="shared" si="2"/>
        <v>-81</v>
      </c>
      <c r="K8" s="40">
        <f t="shared" ref="K8:K14" si="25">+G8-((J8*PI())/180)</f>
        <v>2.487382269787064E-2</v>
      </c>
      <c r="L8" s="40">
        <f t="shared" ref="L8:L14" si="26">COS(H8)*SIN(K8)</f>
        <v>2.4813508584984312E-2</v>
      </c>
      <c r="M8" s="40">
        <f t="shared" si="3"/>
        <v>2.4818603110680883E-2</v>
      </c>
      <c r="N8" s="40">
        <f t="shared" ref="N8:N14" si="27">ATAN((TAN(H8))/COS(K8))-H8</f>
        <v>-2.102538355960859E-5</v>
      </c>
      <c r="O8" s="40">
        <f t="shared" si="4"/>
        <v>6375684.7336960351</v>
      </c>
      <c r="P8" s="40">
        <f t="shared" si="5"/>
        <v>2.0660127362836716E-6</v>
      </c>
      <c r="Q8" s="40">
        <f t="shared" ref="Q8:Q14" si="28">SIN(2*H8)</f>
        <v>-0.13589625878803277</v>
      </c>
      <c r="R8" s="40">
        <f t="shared" ref="R8:R14" si="29">+Q8*(COS(H8))^2</f>
        <v>-0.1352659089337809</v>
      </c>
      <c r="S8" s="40">
        <f t="shared" ref="S8:S14" si="30">H8+(Q8/2)</f>
        <v>-0.13610715821351563</v>
      </c>
      <c r="T8" s="40">
        <f t="shared" ref="T8:T14" si="31">((3*S8)+R8)/4</f>
        <v>-0.13589684589358195</v>
      </c>
      <c r="U8" s="40">
        <f t="shared" ref="U8:U14" si="32">(5*T8+R8*(COS(H8))^2)/3</f>
        <v>-0.27137423746743794</v>
      </c>
      <c r="V8" s="40">
        <f t="shared" si="6"/>
        <v>5.0546225567071803E-3</v>
      </c>
      <c r="W8" s="40">
        <f t="shared" si="7"/>
        <v>4.2582015317955055E-5</v>
      </c>
      <c r="X8" s="40">
        <f t="shared" ref="X8:X14" si="33">(35/27)*V8^3</f>
        <v>1.6740578955036711E-7</v>
      </c>
      <c r="Y8" s="40">
        <f t="shared" si="8"/>
        <v>-431651.3684996714</v>
      </c>
      <c r="Z8" s="30" t="str">
        <f t="shared" si="9"/>
        <v>M</v>
      </c>
      <c r="AA8" s="30" t="str">
        <f t="shared" si="10"/>
        <v>M</v>
      </c>
      <c r="AB8" s="30" t="str">
        <f t="shared" si="11"/>
        <v>U</v>
      </c>
      <c r="AC8" s="38">
        <f t="shared" ref="AC8:AC14" si="34">M8*O8*(1+P8/3)+500000</f>
        <v>658235.69793667644</v>
      </c>
      <c r="AD8" s="38">
        <f t="shared" si="12"/>
        <v>9568214.5800063964</v>
      </c>
      <c r="AE8" s="39">
        <f t="shared" si="13"/>
        <v>17</v>
      </c>
      <c r="AF8" s="39" t="str">
        <f t="shared" si="14"/>
        <v>M</v>
      </c>
      <c r="AG8" s="31">
        <f t="shared" si="15"/>
        <v>-79</v>
      </c>
      <c r="AH8" s="32">
        <f t="shared" si="16"/>
        <v>-34</v>
      </c>
      <c r="AI8" s="33">
        <f t="shared" si="17"/>
        <v>-29.405999999999999</v>
      </c>
      <c r="AJ8" s="31">
        <f t="shared" si="18"/>
        <v>-3</v>
      </c>
      <c r="AK8" s="32">
        <f t="shared" si="19"/>
        <v>-54</v>
      </c>
      <c r="AL8" s="33">
        <f t="shared" si="20"/>
        <v>-18.809000000000001</v>
      </c>
      <c r="AM8" s="34" t="str">
        <f t="shared" si="21"/>
        <v>3º 54' 18,809" S</v>
      </c>
      <c r="AN8" s="34" t="str">
        <f t="shared" si="22"/>
        <v>79º 34' 29,406" W</v>
      </c>
      <c r="AO8" s="34" t="str">
        <f t="shared" si="23"/>
        <v>17 M 658236 9568215</v>
      </c>
    </row>
    <row r="9" spans="2:41">
      <c r="B9" s="54"/>
      <c r="C9" s="54"/>
      <c r="D9" s="13"/>
      <c r="E9" s="41">
        <v>-3.9052246870678524</v>
      </c>
      <c r="F9" s="41">
        <v>-79.574834939055293</v>
      </c>
      <c r="G9" s="40">
        <f t="shared" si="0"/>
        <v>-1.3888428714175363</v>
      </c>
      <c r="H9" s="40">
        <f t="shared" si="24"/>
        <v>-6.8159028819499243E-2</v>
      </c>
      <c r="I9" s="40">
        <f t="shared" si="1"/>
        <v>17</v>
      </c>
      <c r="J9" s="40">
        <f t="shared" si="2"/>
        <v>-81</v>
      </c>
      <c r="K9" s="40">
        <f t="shared" si="25"/>
        <v>2.487382269787064E-2</v>
      </c>
      <c r="L9" s="40">
        <f t="shared" si="26"/>
        <v>2.4813508584984312E-2</v>
      </c>
      <c r="M9" s="40">
        <f t="shared" si="3"/>
        <v>2.4818603110680883E-2</v>
      </c>
      <c r="N9" s="40">
        <f t="shared" si="27"/>
        <v>-2.102538355960859E-5</v>
      </c>
      <c r="O9" s="40">
        <f t="shared" si="4"/>
        <v>6375684.7336960351</v>
      </c>
      <c r="P9" s="40">
        <f t="shared" si="5"/>
        <v>2.0660127362836716E-6</v>
      </c>
      <c r="Q9" s="40">
        <f t="shared" si="28"/>
        <v>-0.13589625878803277</v>
      </c>
      <c r="R9" s="40">
        <f t="shared" si="29"/>
        <v>-0.1352659089337809</v>
      </c>
      <c r="S9" s="40">
        <f t="shared" si="30"/>
        <v>-0.13610715821351563</v>
      </c>
      <c r="T9" s="40">
        <f t="shared" si="31"/>
        <v>-0.13589684589358195</v>
      </c>
      <c r="U9" s="40">
        <f t="shared" si="32"/>
        <v>-0.27137423746743794</v>
      </c>
      <c r="V9" s="40">
        <f t="shared" si="6"/>
        <v>5.0546225567071803E-3</v>
      </c>
      <c r="W9" s="40">
        <f t="shared" si="7"/>
        <v>4.2582015317955055E-5</v>
      </c>
      <c r="X9" s="40">
        <f t="shared" si="33"/>
        <v>1.6740578955036711E-7</v>
      </c>
      <c r="Y9" s="40">
        <f t="shared" si="8"/>
        <v>-431651.3684996714</v>
      </c>
      <c r="Z9" s="30" t="str">
        <f t="shared" si="9"/>
        <v>M</v>
      </c>
      <c r="AA9" s="30" t="str">
        <f t="shared" si="10"/>
        <v>M</v>
      </c>
      <c r="AB9" s="30" t="str">
        <f t="shared" si="11"/>
        <v>U</v>
      </c>
      <c r="AC9" s="38">
        <f t="shared" si="34"/>
        <v>658235.69793667644</v>
      </c>
      <c r="AD9" s="38">
        <f t="shared" si="12"/>
        <v>9568214.5800063964</v>
      </c>
      <c r="AE9" s="39">
        <f t="shared" si="13"/>
        <v>17</v>
      </c>
      <c r="AF9" s="39" t="str">
        <f t="shared" si="14"/>
        <v>M</v>
      </c>
      <c r="AG9" s="31">
        <f t="shared" si="15"/>
        <v>-79</v>
      </c>
      <c r="AH9" s="32">
        <f t="shared" si="16"/>
        <v>-34</v>
      </c>
      <c r="AI9" s="33">
        <f t="shared" si="17"/>
        <v>-29.405999999999999</v>
      </c>
      <c r="AJ9" s="31">
        <f t="shared" si="18"/>
        <v>-3</v>
      </c>
      <c r="AK9" s="32">
        <f t="shared" si="19"/>
        <v>-54</v>
      </c>
      <c r="AL9" s="33">
        <f t="shared" si="20"/>
        <v>-18.809000000000001</v>
      </c>
      <c r="AM9" s="34" t="str">
        <f t="shared" si="21"/>
        <v>3º 54' 18,809" S</v>
      </c>
      <c r="AN9" s="34" t="str">
        <f t="shared" si="22"/>
        <v>79º 34' 29,406" W</v>
      </c>
      <c r="AO9" s="34" t="str">
        <f t="shared" si="23"/>
        <v>17 M 658236 9568215</v>
      </c>
    </row>
    <row r="10" spans="2:41">
      <c r="B10" s="54"/>
      <c r="C10" s="54"/>
      <c r="D10" s="54"/>
      <c r="E10" s="41">
        <v>-3.9052246870678524</v>
      </c>
      <c r="F10" s="41">
        <v>-79.574834939055293</v>
      </c>
      <c r="G10" s="40">
        <f t="shared" si="0"/>
        <v>-1.3888428714175363</v>
      </c>
      <c r="H10" s="40">
        <f t="shared" si="24"/>
        <v>-6.8159028819499243E-2</v>
      </c>
      <c r="I10" s="40">
        <f t="shared" si="1"/>
        <v>17</v>
      </c>
      <c r="J10" s="40">
        <f t="shared" si="2"/>
        <v>-81</v>
      </c>
      <c r="K10" s="40">
        <f t="shared" si="25"/>
        <v>2.487382269787064E-2</v>
      </c>
      <c r="L10" s="40">
        <f t="shared" si="26"/>
        <v>2.4813508584984312E-2</v>
      </c>
      <c r="M10" s="40">
        <f t="shared" si="3"/>
        <v>2.4818603110680883E-2</v>
      </c>
      <c r="N10" s="40">
        <f t="shared" si="27"/>
        <v>-2.102538355960859E-5</v>
      </c>
      <c r="O10" s="40">
        <f t="shared" si="4"/>
        <v>6375684.7336960351</v>
      </c>
      <c r="P10" s="40">
        <f t="shared" si="5"/>
        <v>2.0660127362836716E-6</v>
      </c>
      <c r="Q10" s="40">
        <f t="shared" si="28"/>
        <v>-0.13589625878803277</v>
      </c>
      <c r="R10" s="40">
        <f t="shared" si="29"/>
        <v>-0.1352659089337809</v>
      </c>
      <c r="S10" s="40">
        <f t="shared" si="30"/>
        <v>-0.13610715821351563</v>
      </c>
      <c r="T10" s="40">
        <f t="shared" si="31"/>
        <v>-0.13589684589358195</v>
      </c>
      <c r="U10" s="40">
        <f t="shared" si="32"/>
        <v>-0.27137423746743794</v>
      </c>
      <c r="V10" s="40">
        <f t="shared" si="6"/>
        <v>5.0546225567071803E-3</v>
      </c>
      <c r="W10" s="40">
        <f t="shared" si="7"/>
        <v>4.2582015317955055E-5</v>
      </c>
      <c r="X10" s="40">
        <f t="shared" si="33"/>
        <v>1.6740578955036711E-7</v>
      </c>
      <c r="Y10" s="40">
        <f t="shared" si="8"/>
        <v>-431651.3684996714</v>
      </c>
      <c r="Z10" s="30" t="str">
        <f t="shared" si="9"/>
        <v>M</v>
      </c>
      <c r="AA10" s="30" t="str">
        <f t="shared" si="10"/>
        <v>M</v>
      </c>
      <c r="AB10" s="30" t="str">
        <f t="shared" si="11"/>
        <v>U</v>
      </c>
      <c r="AC10" s="38">
        <f t="shared" si="34"/>
        <v>658235.69793667644</v>
      </c>
      <c r="AD10" s="38">
        <f t="shared" si="12"/>
        <v>9568214.5800063964</v>
      </c>
      <c r="AE10" s="39">
        <f t="shared" si="13"/>
        <v>17</v>
      </c>
      <c r="AF10" s="39" t="str">
        <f t="shared" si="14"/>
        <v>M</v>
      </c>
      <c r="AG10" s="31">
        <f t="shared" si="15"/>
        <v>-79</v>
      </c>
      <c r="AH10" s="32">
        <f t="shared" si="16"/>
        <v>-34</v>
      </c>
      <c r="AI10" s="33">
        <f t="shared" si="17"/>
        <v>-29.405999999999999</v>
      </c>
      <c r="AJ10" s="31">
        <f t="shared" si="18"/>
        <v>-3</v>
      </c>
      <c r="AK10" s="32">
        <f t="shared" si="19"/>
        <v>-54</v>
      </c>
      <c r="AL10" s="33">
        <f t="shared" si="20"/>
        <v>-18.809000000000001</v>
      </c>
      <c r="AM10" s="34" t="str">
        <f t="shared" si="21"/>
        <v>3º 54' 18,809" S</v>
      </c>
      <c r="AN10" s="34" t="str">
        <f t="shared" si="22"/>
        <v>79º 34' 29,406" W</v>
      </c>
      <c r="AO10" s="34" t="str">
        <f t="shared" si="23"/>
        <v>17 M 658236 9568215</v>
      </c>
    </row>
    <row r="11" spans="2:41">
      <c r="B11" s="54"/>
      <c r="C11" s="54"/>
      <c r="D11" s="54"/>
      <c r="E11" s="41">
        <v>-3.9052246870678524</v>
      </c>
      <c r="F11" s="41">
        <v>-79.574834939055293</v>
      </c>
      <c r="G11" s="40">
        <f t="shared" si="0"/>
        <v>-1.3888428714175363</v>
      </c>
      <c r="H11" s="40">
        <f t="shared" si="24"/>
        <v>-6.8159028819499243E-2</v>
      </c>
      <c r="I11" s="40">
        <f t="shared" si="1"/>
        <v>17</v>
      </c>
      <c r="J11" s="40">
        <f t="shared" si="2"/>
        <v>-81</v>
      </c>
      <c r="K11" s="40">
        <f t="shared" si="25"/>
        <v>2.487382269787064E-2</v>
      </c>
      <c r="L11" s="40">
        <f t="shared" si="26"/>
        <v>2.4813508584984312E-2</v>
      </c>
      <c r="M11" s="40">
        <f t="shared" si="3"/>
        <v>2.4818603110680883E-2</v>
      </c>
      <c r="N11" s="40">
        <f t="shared" si="27"/>
        <v>-2.102538355960859E-5</v>
      </c>
      <c r="O11" s="40">
        <f t="shared" si="4"/>
        <v>6375684.7336960351</v>
      </c>
      <c r="P11" s="40">
        <f t="shared" si="5"/>
        <v>2.0660127362836716E-6</v>
      </c>
      <c r="Q11" s="40">
        <f t="shared" si="28"/>
        <v>-0.13589625878803277</v>
      </c>
      <c r="R11" s="40">
        <f t="shared" si="29"/>
        <v>-0.1352659089337809</v>
      </c>
      <c r="S11" s="40">
        <f t="shared" si="30"/>
        <v>-0.13610715821351563</v>
      </c>
      <c r="T11" s="40">
        <f t="shared" si="31"/>
        <v>-0.13589684589358195</v>
      </c>
      <c r="U11" s="40">
        <f t="shared" si="32"/>
        <v>-0.27137423746743794</v>
      </c>
      <c r="V11" s="40">
        <f t="shared" si="6"/>
        <v>5.0546225567071803E-3</v>
      </c>
      <c r="W11" s="40">
        <f t="shared" si="7"/>
        <v>4.2582015317955055E-5</v>
      </c>
      <c r="X11" s="40">
        <f t="shared" si="33"/>
        <v>1.6740578955036711E-7</v>
      </c>
      <c r="Y11" s="40">
        <f t="shared" si="8"/>
        <v>-431651.3684996714</v>
      </c>
      <c r="Z11" s="30" t="str">
        <f t="shared" si="9"/>
        <v>M</v>
      </c>
      <c r="AA11" s="30" t="str">
        <f t="shared" si="10"/>
        <v>M</v>
      </c>
      <c r="AB11" s="30" t="str">
        <f t="shared" si="11"/>
        <v>U</v>
      </c>
      <c r="AC11" s="38">
        <f t="shared" si="34"/>
        <v>658235.69793667644</v>
      </c>
      <c r="AD11" s="38">
        <f t="shared" si="12"/>
        <v>9568214.5800063964</v>
      </c>
      <c r="AE11" s="39">
        <f t="shared" si="13"/>
        <v>17</v>
      </c>
      <c r="AF11" s="39" t="str">
        <f t="shared" si="14"/>
        <v>M</v>
      </c>
      <c r="AG11" s="31">
        <f t="shared" si="15"/>
        <v>-79</v>
      </c>
      <c r="AH11" s="32">
        <f t="shared" si="16"/>
        <v>-34</v>
      </c>
      <c r="AI11" s="33">
        <f t="shared" si="17"/>
        <v>-29.405999999999999</v>
      </c>
      <c r="AJ11" s="31">
        <f t="shared" si="18"/>
        <v>-3</v>
      </c>
      <c r="AK11" s="32">
        <f t="shared" si="19"/>
        <v>-54</v>
      </c>
      <c r="AL11" s="33">
        <f t="shared" si="20"/>
        <v>-18.809000000000001</v>
      </c>
      <c r="AM11" s="34" t="str">
        <f t="shared" si="21"/>
        <v>3º 54' 18,809" S</v>
      </c>
      <c r="AN11" s="34" t="str">
        <f t="shared" si="22"/>
        <v>79º 34' 29,406" W</v>
      </c>
      <c r="AO11" s="34" t="str">
        <f t="shared" si="23"/>
        <v>17 M 658236 9568215</v>
      </c>
    </row>
    <row r="12" spans="2:41">
      <c r="B12" s="54"/>
      <c r="C12" s="54"/>
      <c r="D12" s="54"/>
      <c r="E12" s="41">
        <v>-3.9052246870678524</v>
      </c>
      <c r="F12" s="41">
        <v>-79.574834939055293</v>
      </c>
      <c r="G12" s="40">
        <f t="shared" si="0"/>
        <v>-1.3888428714175363</v>
      </c>
      <c r="H12" s="40">
        <f t="shared" si="24"/>
        <v>-6.8159028819499243E-2</v>
      </c>
      <c r="I12" s="40">
        <f t="shared" si="1"/>
        <v>17</v>
      </c>
      <c r="J12" s="40">
        <f t="shared" si="2"/>
        <v>-81</v>
      </c>
      <c r="K12" s="40">
        <f t="shared" si="25"/>
        <v>2.487382269787064E-2</v>
      </c>
      <c r="L12" s="40">
        <f t="shared" si="26"/>
        <v>2.4813508584984312E-2</v>
      </c>
      <c r="M12" s="40">
        <f t="shared" si="3"/>
        <v>2.4818603110680883E-2</v>
      </c>
      <c r="N12" s="40">
        <f t="shared" si="27"/>
        <v>-2.102538355960859E-5</v>
      </c>
      <c r="O12" s="40">
        <f t="shared" si="4"/>
        <v>6375684.7336960351</v>
      </c>
      <c r="P12" s="40">
        <f t="shared" si="5"/>
        <v>2.0660127362836716E-6</v>
      </c>
      <c r="Q12" s="40">
        <f t="shared" si="28"/>
        <v>-0.13589625878803277</v>
      </c>
      <c r="R12" s="40">
        <f t="shared" si="29"/>
        <v>-0.1352659089337809</v>
      </c>
      <c r="S12" s="40">
        <f t="shared" si="30"/>
        <v>-0.13610715821351563</v>
      </c>
      <c r="T12" s="40">
        <f t="shared" si="31"/>
        <v>-0.13589684589358195</v>
      </c>
      <c r="U12" s="40">
        <f t="shared" si="32"/>
        <v>-0.27137423746743794</v>
      </c>
      <c r="V12" s="40">
        <f t="shared" si="6"/>
        <v>5.0546225567071803E-3</v>
      </c>
      <c r="W12" s="40">
        <f t="shared" si="7"/>
        <v>4.2582015317955055E-5</v>
      </c>
      <c r="X12" s="40">
        <f t="shared" si="33"/>
        <v>1.6740578955036711E-7</v>
      </c>
      <c r="Y12" s="40">
        <f t="shared" si="8"/>
        <v>-431651.3684996714</v>
      </c>
      <c r="Z12" s="30" t="str">
        <f t="shared" si="9"/>
        <v>M</v>
      </c>
      <c r="AA12" s="30" t="str">
        <f t="shared" si="10"/>
        <v>M</v>
      </c>
      <c r="AB12" s="30" t="str">
        <f t="shared" si="11"/>
        <v>U</v>
      </c>
      <c r="AC12" s="38">
        <f t="shared" si="34"/>
        <v>658235.69793667644</v>
      </c>
      <c r="AD12" s="38">
        <f t="shared" si="12"/>
        <v>9568214.5800063964</v>
      </c>
      <c r="AE12" s="39">
        <f t="shared" si="13"/>
        <v>17</v>
      </c>
      <c r="AF12" s="39" t="str">
        <f t="shared" si="14"/>
        <v>M</v>
      </c>
      <c r="AG12" s="31">
        <f t="shared" si="15"/>
        <v>-79</v>
      </c>
      <c r="AH12" s="32">
        <f t="shared" si="16"/>
        <v>-34</v>
      </c>
      <c r="AI12" s="33">
        <f t="shared" si="17"/>
        <v>-29.405999999999999</v>
      </c>
      <c r="AJ12" s="31">
        <f t="shared" si="18"/>
        <v>-3</v>
      </c>
      <c r="AK12" s="32">
        <f t="shared" si="19"/>
        <v>-54</v>
      </c>
      <c r="AL12" s="33">
        <f t="shared" si="20"/>
        <v>-18.809000000000001</v>
      </c>
      <c r="AM12" s="34" t="str">
        <f t="shared" si="21"/>
        <v>3º 54' 18,809" S</v>
      </c>
      <c r="AN12" s="34" t="str">
        <f t="shared" si="22"/>
        <v>79º 34' 29,406" W</v>
      </c>
      <c r="AO12" s="34" t="str">
        <f t="shared" si="23"/>
        <v>17 M 658236 9568215</v>
      </c>
    </row>
    <row r="13" spans="2:41">
      <c r="B13" s="54"/>
      <c r="C13" s="54"/>
      <c r="D13" s="54"/>
      <c r="E13" s="41">
        <v>-3.9052246870678524</v>
      </c>
      <c r="F13" s="41">
        <v>-79.574834939055293</v>
      </c>
      <c r="G13" s="40">
        <f t="shared" si="0"/>
        <v>-1.3888428714175363</v>
      </c>
      <c r="H13" s="40">
        <f t="shared" si="24"/>
        <v>-6.8159028819499243E-2</v>
      </c>
      <c r="I13" s="40">
        <f t="shared" si="1"/>
        <v>17</v>
      </c>
      <c r="J13" s="40">
        <f t="shared" si="2"/>
        <v>-81</v>
      </c>
      <c r="K13" s="40">
        <f t="shared" si="25"/>
        <v>2.487382269787064E-2</v>
      </c>
      <c r="L13" s="40">
        <f t="shared" si="26"/>
        <v>2.4813508584984312E-2</v>
      </c>
      <c r="M13" s="40">
        <f t="shared" si="3"/>
        <v>2.4818603110680883E-2</v>
      </c>
      <c r="N13" s="40">
        <f t="shared" si="27"/>
        <v>-2.102538355960859E-5</v>
      </c>
      <c r="O13" s="40">
        <f t="shared" si="4"/>
        <v>6375684.7336960351</v>
      </c>
      <c r="P13" s="40">
        <f t="shared" si="5"/>
        <v>2.0660127362836716E-6</v>
      </c>
      <c r="Q13" s="40">
        <f t="shared" si="28"/>
        <v>-0.13589625878803277</v>
      </c>
      <c r="R13" s="40">
        <f t="shared" si="29"/>
        <v>-0.1352659089337809</v>
      </c>
      <c r="S13" s="40">
        <f t="shared" si="30"/>
        <v>-0.13610715821351563</v>
      </c>
      <c r="T13" s="40">
        <f t="shared" si="31"/>
        <v>-0.13589684589358195</v>
      </c>
      <c r="U13" s="40">
        <f t="shared" si="32"/>
        <v>-0.27137423746743794</v>
      </c>
      <c r="V13" s="40">
        <f t="shared" si="6"/>
        <v>5.0546225567071803E-3</v>
      </c>
      <c r="W13" s="40">
        <f t="shared" si="7"/>
        <v>4.2582015317955055E-5</v>
      </c>
      <c r="X13" s="40">
        <f t="shared" si="33"/>
        <v>1.6740578955036711E-7</v>
      </c>
      <c r="Y13" s="40">
        <f t="shared" si="8"/>
        <v>-431651.3684996714</v>
      </c>
      <c r="Z13" s="30" t="str">
        <f t="shared" si="9"/>
        <v>M</v>
      </c>
      <c r="AA13" s="30" t="str">
        <f t="shared" si="10"/>
        <v>M</v>
      </c>
      <c r="AB13" s="30" t="str">
        <f t="shared" si="11"/>
        <v>U</v>
      </c>
      <c r="AC13" s="38">
        <f t="shared" si="34"/>
        <v>658235.69793667644</v>
      </c>
      <c r="AD13" s="38">
        <f t="shared" si="12"/>
        <v>9568214.5800063964</v>
      </c>
      <c r="AE13" s="39">
        <f t="shared" si="13"/>
        <v>17</v>
      </c>
      <c r="AF13" s="39" t="str">
        <f t="shared" si="14"/>
        <v>M</v>
      </c>
      <c r="AG13" s="31">
        <f t="shared" si="15"/>
        <v>-79</v>
      </c>
      <c r="AH13" s="32">
        <f t="shared" si="16"/>
        <v>-34</v>
      </c>
      <c r="AI13" s="33">
        <f t="shared" si="17"/>
        <v>-29.405999999999999</v>
      </c>
      <c r="AJ13" s="31">
        <f t="shared" si="18"/>
        <v>-3</v>
      </c>
      <c r="AK13" s="32">
        <f t="shared" si="19"/>
        <v>-54</v>
      </c>
      <c r="AL13" s="33">
        <f t="shared" si="20"/>
        <v>-18.809000000000001</v>
      </c>
      <c r="AM13" s="34" t="str">
        <f t="shared" si="21"/>
        <v>3º 54' 18,809" S</v>
      </c>
      <c r="AN13" s="34" t="str">
        <f t="shared" si="22"/>
        <v>79º 34' 29,406" W</v>
      </c>
      <c r="AO13" s="34" t="str">
        <f t="shared" si="23"/>
        <v>17 M 658236 9568215</v>
      </c>
    </row>
    <row r="14" spans="2:41">
      <c r="B14" s="54"/>
      <c r="C14" s="54"/>
      <c r="D14" s="54"/>
      <c r="E14" s="41">
        <v>-3.9052246870678524</v>
      </c>
      <c r="F14" s="41">
        <v>-79.574834939055293</v>
      </c>
      <c r="G14" s="40">
        <f t="shared" si="0"/>
        <v>-1.3888428714175363</v>
      </c>
      <c r="H14" s="40">
        <f t="shared" si="24"/>
        <v>-6.8159028819499243E-2</v>
      </c>
      <c r="I14" s="40">
        <f t="shared" si="1"/>
        <v>17</v>
      </c>
      <c r="J14" s="40">
        <f t="shared" si="2"/>
        <v>-81</v>
      </c>
      <c r="K14" s="40">
        <f t="shared" si="25"/>
        <v>2.487382269787064E-2</v>
      </c>
      <c r="L14" s="40">
        <f t="shared" si="26"/>
        <v>2.4813508584984312E-2</v>
      </c>
      <c r="M14" s="40">
        <f t="shared" si="3"/>
        <v>2.4818603110680883E-2</v>
      </c>
      <c r="N14" s="40">
        <f t="shared" si="27"/>
        <v>-2.102538355960859E-5</v>
      </c>
      <c r="O14" s="40">
        <f t="shared" si="4"/>
        <v>6375684.7336960351</v>
      </c>
      <c r="P14" s="40">
        <f t="shared" si="5"/>
        <v>2.0660127362836716E-6</v>
      </c>
      <c r="Q14" s="40">
        <f t="shared" si="28"/>
        <v>-0.13589625878803277</v>
      </c>
      <c r="R14" s="40">
        <f t="shared" si="29"/>
        <v>-0.1352659089337809</v>
      </c>
      <c r="S14" s="40">
        <f t="shared" si="30"/>
        <v>-0.13610715821351563</v>
      </c>
      <c r="T14" s="40">
        <f t="shared" si="31"/>
        <v>-0.13589684589358195</v>
      </c>
      <c r="U14" s="40">
        <f t="shared" si="32"/>
        <v>-0.27137423746743794</v>
      </c>
      <c r="V14" s="40">
        <f t="shared" si="6"/>
        <v>5.0546225567071803E-3</v>
      </c>
      <c r="W14" s="40">
        <f t="shared" si="7"/>
        <v>4.2582015317955055E-5</v>
      </c>
      <c r="X14" s="40">
        <f t="shared" si="33"/>
        <v>1.6740578955036711E-7</v>
      </c>
      <c r="Y14" s="40">
        <f t="shared" si="8"/>
        <v>-431651.3684996714</v>
      </c>
      <c r="Z14" s="30" t="str">
        <f t="shared" si="9"/>
        <v>M</v>
      </c>
      <c r="AA14" s="30" t="str">
        <f t="shared" si="10"/>
        <v>M</v>
      </c>
      <c r="AB14" s="30" t="str">
        <f t="shared" si="11"/>
        <v>U</v>
      </c>
      <c r="AC14" s="38">
        <f t="shared" si="34"/>
        <v>658235.69793667644</v>
      </c>
      <c r="AD14" s="38">
        <f t="shared" si="12"/>
        <v>9568214.5800063964</v>
      </c>
      <c r="AE14" s="39">
        <f t="shared" si="13"/>
        <v>17</v>
      </c>
      <c r="AF14" s="39" t="str">
        <f t="shared" si="14"/>
        <v>M</v>
      </c>
      <c r="AG14" s="31">
        <f t="shared" si="15"/>
        <v>-79</v>
      </c>
      <c r="AH14" s="32">
        <f t="shared" si="16"/>
        <v>-34</v>
      </c>
      <c r="AI14" s="33">
        <f t="shared" si="17"/>
        <v>-29.405999999999999</v>
      </c>
      <c r="AJ14" s="31">
        <f t="shared" si="18"/>
        <v>-3</v>
      </c>
      <c r="AK14" s="32">
        <f t="shared" si="19"/>
        <v>-54</v>
      </c>
      <c r="AL14" s="33">
        <f t="shared" si="20"/>
        <v>-18.809000000000001</v>
      </c>
      <c r="AM14" s="34" t="str">
        <f t="shared" si="21"/>
        <v>3º 54' 18,809" S</v>
      </c>
      <c r="AN14" s="34" t="str">
        <f t="shared" si="22"/>
        <v>79º 34' 29,406" W</v>
      </c>
      <c r="AO14" s="34" t="str">
        <f t="shared" si="23"/>
        <v>17 M 658236 9568215</v>
      </c>
    </row>
    <row r="15" spans="2:41">
      <c r="B15" s="56" t="s">
        <v>36</v>
      </c>
      <c r="C15" s="56"/>
      <c r="D15" s="54"/>
      <c r="E15" s="41">
        <v>-3.9052246870678524</v>
      </c>
      <c r="F15" s="41">
        <v>-79.574834939055293</v>
      </c>
      <c r="G15" s="40">
        <f t="shared" si="0"/>
        <v>-1.3888428714175363</v>
      </c>
      <c r="H15" s="40">
        <f t="shared" ref="H15:H26" si="35">E15*PI()/180</f>
        <v>-6.8159028819499243E-2</v>
      </c>
      <c r="I15" s="40">
        <f t="shared" si="1"/>
        <v>17</v>
      </c>
      <c r="J15" s="40">
        <f t="shared" si="2"/>
        <v>-81</v>
      </c>
      <c r="K15" s="40">
        <f t="shared" ref="K15:K26" si="36">+G15-((J15*PI())/180)</f>
        <v>2.487382269787064E-2</v>
      </c>
      <c r="L15" s="40">
        <f t="shared" ref="L15:L26" si="37">COS(H15)*SIN(K15)</f>
        <v>2.4813508584984312E-2</v>
      </c>
      <c r="M15" s="40">
        <f t="shared" si="3"/>
        <v>2.4818603110680883E-2</v>
      </c>
      <c r="N15" s="40">
        <f t="shared" ref="N15:N26" si="38">ATAN((TAN(H15))/COS(K15))-H15</f>
        <v>-2.102538355960859E-5</v>
      </c>
      <c r="O15" s="40">
        <f t="shared" si="4"/>
        <v>6375684.7336960351</v>
      </c>
      <c r="P15" s="40">
        <f t="shared" si="5"/>
        <v>2.0660127362836716E-6</v>
      </c>
      <c r="Q15" s="40">
        <f t="shared" ref="Q15:Q26" si="39">SIN(2*H15)</f>
        <v>-0.13589625878803277</v>
      </c>
      <c r="R15" s="40">
        <f t="shared" ref="R15:R26" si="40">+Q15*(COS(H15))^2</f>
        <v>-0.1352659089337809</v>
      </c>
      <c r="S15" s="40">
        <f t="shared" ref="S15:S26" si="41">H15+(Q15/2)</f>
        <v>-0.13610715821351563</v>
      </c>
      <c r="T15" s="40">
        <f t="shared" ref="T15:T26" si="42">((3*S15)+R15)/4</f>
        <v>-0.13589684589358195</v>
      </c>
      <c r="U15" s="40">
        <f t="shared" ref="U15:U26" si="43">(5*T15+R15*(COS(H15))^2)/3</f>
        <v>-0.27137423746743794</v>
      </c>
      <c r="V15" s="40">
        <f t="shared" si="6"/>
        <v>5.0546225567071803E-3</v>
      </c>
      <c r="W15" s="40">
        <f t="shared" si="7"/>
        <v>4.2582015317955055E-5</v>
      </c>
      <c r="X15" s="40">
        <f t="shared" ref="X15:X26" si="44">(35/27)*V15^3</f>
        <v>1.6740578955036711E-7</v>
      </c>
      <c r="Y15" s="40">
        <f t="shared" si="8"/>
        <v>-431651.3684996714</v>
      </c>
      <c r="Z15" s="30" t="str">
        <f t="shared" si="9"/>
        <v>M</v>
      </c>
      <c r="AA15" s="30" t="str">
        <f t="shared" si="10"/>
        <v>M</v>
      </c>
      <c r="AB15" s="30" t="str">
        <f t="shared" si="11"/>
        <v>U</v>
      </c>
      <c r="AC15" s="38">
        <f t="shared" ref="AC15:AC23" si="45">M15*O15*(1+P15/3)+500000</f>
        <v>658235.69793667644</v>
      </c>
      <c r="AD15" s="38">
        <f t="shared" si="12"/>
        <v>9568214.5800063964</v>
      </c>
      <c r="AE15" s="39">
        <f t="shared" si="13"/>
        <v>17</v>
      </c>
      <c r="AF15" s="39" t="str">
        <f t="shared" si="14"/>
        <v>M</v>
      </c>
      <c r="AG15" s="31">
        <f t="shared" si="15"/>
        <v>-79</v>
      </c>
      <c r="AH15" s="32">
        <f t="shared" si="16"/>
        <v>-34</v>
      </c>
      <c r="AI15" s="33">
        <f t="shared" si="17"/>
        <v>-29.405999999999999</v>
      </c>
      <c r="AJ15" s="31">
        <f t="shared" si="18"/>
        <v>-3</v>
      </c>
      <c r="AK15" s="32">
        <f t="shared" si="19"/>
        <v>-54</v>
      </c>
      <c r="AL15" s="33">
        <f t="shared" si="20"/>
        <v>-18.809000000000001</v>
      </c>
      <c r="AM15" s="34" t="str">
        <f t="shared" si="21"/>
        <v>3º 54' 18,809" S</v>
      </c>
      <c r="AN15" s="34" t="str">
        <f t="shared" si="22"/>
        <v>79º 34' 29,406" W</v>
      </c>
      <c r="AO15" s="34" t="str">
        <f t="shared" si="23"/>
        <v>17 M 658236 9568215</v>
      </c>
    </row>
    <row r="16" spans="2:41">
      <c r="B16" s="55" t="s">
        <v>37</v>
      </c>
      <c r="C16" s="55">
        <v>6378137</v>
      </c>
      <c r="D16" s="54"/>
      <c r="E16" s="41">
        <v>-3.9052246870678524</v>
      </c>
      <c r="F16" s="41">
        <v>-79.574834939055293</v>
      </c>
      <c r="G16" s="40">
        <f t="shared" si="0"/>
        <v>-1.3888428714175363</v>
      </c>
      <c r="H16" s="40">
        <f t="shared" si="35"/>
        <v>-6.8159028819499243E-2</v>
      </c>
      <c r="I16" s="40">
        <f t="shared" si="1"/>
        <v>17</v>
      </c>
      <c r="J16" s="40">
        <f t="shared" si="2"/>
        <v>-81</v>
      </c>
      <c r="K16" s="40">
        <f t="shared" si="36"/>
        <v>2.487382269787064E-2</v>
      </c>
      <c r="L16" s="40">
        <f t="shared" si="37"/>
        <v>2.4813508584984312E-2</v>
      </c>
      <c r="M16" s="40">
        <f t="shared" si="3"/>
        <v>2.4818603110680883E-2</v>
      </c>
      <c r="N16" s="40">
        <f t="shared" si="38"/>
        <v>-2.102538355960859E-5</v>
      </c>
      <c r="O16" s="40">
        <f t="shared" si="4"/>
        <v>6375684.7336960351</v>
      </c>
      <c r="P16" s="40">
        <f t="shared" si="5"/>
        <v>2.0660127362836716E-6</v>
      </c>
      <c r="Q16" s="40">
        <f t="shared" si="39"/>
        <v>-0.13589625878803277</v>
      </c>
      <c r="R16" s="40">
        <f t="shared" si="40"/>
        <v>-0.1352659089337809</v>
      </c>
      <c r="S16" s="40">
        <f t="shared" si="41"/>
        <v>-0.13610715821351563</v>
      </c>
      <c r="T16" s="40">
        <f t="shared" si="42"/>
        <v>-0.13589684589358195</v>
      </c>
      <c r="U16" s="40">
        <f t="shared" si="43"/>
        <v>-0.27137423746743794</v>
      </c>
      <c r="V16" s="40">
        <f t="shared" si="6"/>
        <v>5.0546225567071803E-3</v>
      </c>
      <c r="W16" s="40">
        <f t="shared" si="7"/>
        <v>4.2582015317955055E-5</v>
      </c>
      <c r="X16" s="40">
        <f t="shared" si="44"/>
        <v>1.6740578955036711E-7</v>
      </c>
      <c r="Y16" s="40">
        <f t="shared" si="8"/>
        <v>-431651.3684996714</v>
      </c>
      <c r="Z16" s="30" t="str">
        <f t="shared" si="9"/>
        <v>M</v>
      </c>
      <c r="AA16" s="30" t="str">
        <f t="shared" si="10"/>
        <v>M</v>
      </c>
      <c r="AB16" s="30" t="str">
        <f t="shared" si="11"/>
        <v>U</v>
      </c>
      <c r="AC16" s="38">
        <f t="shared" si="45"/>
        <v>658235.69793667644</v>
      </c>
      <c r="AD16" s="38">
        <f t="shared" si="12"/>
        <v>9568214.5800063964</v>
      </c>
      <c r="AE16" s="39">
        <f t="shared" si="13"/>
        <v>17</v>
      </c>
      <c r="AF16" s="39" t="str">
        <f t="shared" si="14"/>
        <v>M</v>
      </c>
      <c r="AG16" s="31">
        <f t="shared" si="15"/>
        <v>-79</v>
      </c>
      <c r="AH16" s="32">
        <f t="shared" si="16"/>
        <v>-34</v>
      </c>
      <c r="AI16" s="33">
        <f t="shared" si="17"/>
        <v>-29.405999999999999</v>
      </c>
      <c r="AJ16" s="31">
        <f t="shared" si="18"/>
        <v>-3</v>
      </c>
      <c r="AK16" s="32">
        <f t="shared" si="19"/>
        <v>-54</v>
      </c>
      <c r="AL16" s="33">
        <f t="shared" si="20"/>
        <v>-18.809000000000001</v>
      </c>
      <c r="AM16" s="34" t="str">
        <f t="shared" si="21"/>
        <v>3º 54' 18,809" S</v>
      </c>
      <c r="AN16" s="34" t="str">
        <f t="shared" si="22"/>
        <v>79º 34' 29,406" W</v>
      </c>
      <c r="AO16" s="34" t="str">
        <f t="shared" si="23"/>
        <v>17 M 658236 9568215</v>
      </c>
    </row>
    <row r="17" spans="2:41">
      <c r="B17" s="55" t="s">
        <v>38</v>
      </c>
      <c r="C17" s="53">
        <v>6356752.3142451802</v>
      </c>
      <c r="D17" s="54"/>
      <c r="E17" s="41">
        <v>-3.9052246870678524</v>
      </c>
      <c r="F17" s="41">
        <v>-79.574834939055293</v>
      </c>
      <c r="G17" s="40">
        <f t="shared" si="0"/>
        <v>-1.3888428714175363</v>
      </c>
      <c r="H17" s="40">
        <f t="shared" si="35"/>
        <v>-6.8159028819499243E-2</v>
      </c>
      <c r="I17" s="40">
        <f t="shared" si="1"/>
        <v>17</v>
      </c>
      <c r="J17" s="40">
        <f t="shared" si="2"/>
        <v>-81</v>
      </c>
      <c r="K17" s="40">
        <f t="shared" si="36"/>
        <v>2.487382269787064E-2</v>
      </c>
      <c r="L17" s="40">
        <f t="shared" si="37"/>
        <v>2.4813508584984312E-2</v>
      </c>
      <c r="M17" s="40">
        <f t="shared" si="3"/>
        <v>2.4818603110680883E-2</v>
      </c>
      <c r="N17" s="40">
        <f t="shared" si="38"/>
        <v>-2.102538355960859E-5</v>
      </c>
      <c r="O17" s="40">
        <f t="shared" si="4"/>
        <v>6375684.7336960351</v>
      </c>
      <c r="P17" s="40">
        <f t="shared" si="5"/>
        <v>2.0660127362836716E-6</v>
      </c>
      <c r="Q17" s="40">
        <f t="shared" si="39"/>
        <v>-0.13589625878803277</v>
      </c>
      <c r="R17" s="40">
        <f t="shared" si="40"/>
        <v>-0.1352659089337809</v>
      </c>
      <c r="S17" s="40">
        <f t="shared" si="41"/>
        <v>-0.13610715821351563</v>
      </c>
      <c r="T17" s="40">
        <f t="shared" si="42"/>
        <v>-0.13589684589358195</v>
      </c>
      <c r="U17" s="40">
        <f t="shared" si="43"/>
        <v>-0.27137423746743794</v>
      </c>
      <c r="V17" s="40">
        <f t="shared" si="6"/>
        <v>5.0546225567071803E-3</v>
      </c>
      <c r="W17" s="40">
        <f t="shared" si="7"/>
        <v>4.2582015317955055E-5</v>
      </c>
      <c r="X17" s="40">
        <f t="shared" si="44"/>
        <v>1.6740578955036711E-7</v>
      </c>
      <c r="Y17" s="40">
        <f t="shared" si="8"/>
        <v>-431651.3684996714</v>
      </c>
      <c r="Z17" s="30" t="str">
        <f t="shared" si="9"/>
        <v>M</v>
      </c>
      <c r="AA17" s="30" t="str">
        <f t="shared" si="10"/>
        <v>M</v>
      </c>
      <c r="AB17" s="30" t="str">
        <f t="shared" si="11"/>
        <v>U</v>
      </c>
      <c r="AC17" s="38">
        <f t="shared" si="45"/>
        <v>658235.69793667644</v>
      </c>
      <c r="AD17" s="38">
        <f t="shared" si="12"/>
        <v>9568214.5800063964</v>
      </c>
      <c r="AE17" s="39">
        <f t="shared" si="13"/>
        <v>17</v>
      </c>
      <c r="AF17" s="39" t="str">
        <f t="shared" si="14"/>
        <v>M</v>
      </c>
      <c r="AG17" s="31">
        <f t="shared" si="15"/>
        <v>-79</v>
      </c>
      <c r="AH17" s="32">
        <f t="shared" si="16"/>
        <v>-34</v>
      </c>
      <c r="AI17" s="33">
        <f t="shared" si="17"/>
        <v>-29.405999999999999</v>
      </c>
      <c r="AJ17" s="31">
        <f t="shared" si="18"/>
        <v>-3</v>
      </c>
      <c r="AK17" s="32">
        <f t="shared" si="19"/>
        <v>-54</v>
      </c>
      <c r="AL17" s="33">
        <f t="shared" si="20"/>
        <v>-18.809000000000001</v>
      </c>
      <c r="AM17" s="34" t="str">
        <f t="shared" si="21"/>
        <v>3º 54' 18,809" S</v>
      </c>
      <c r="AN17" s="34" t="str">
        <f t="shared" si="22"/>
        <v>79º 34' 29,406" W</v>
      </c>
      <c r="AO17" s="34" t="str">
        <f t="shared" si="23"/>
        <v>17 M 658236 9568215</v>
      </c>
    </row>
    <row r="18" spans="2:41">
      <c r="B18" s="13"/>
      <c r="C18" s="34"/>
      <c r="D18" s="54"/>
      <c r="E18" s="41">
        <v>-3.9052246870678524</v>
      </c>
      <c r="F18" s="41">
        <v>-79.574834939055293</v>
      </c>
      <c r="G18" s="40">
        <f t="shared" si="0"/>
        <v>-1.3888428714175363</v>
      </c>
      <c r="H18" s="40">
        <f t="shared" si="35"/>
        <v>-6.8159028819499243E-2</v>
      </c>
      <c r="I18" s="40">
        <f t="shared" si="1"/>
        <v>17</v>
      </c>
      <c r="J18" s="40">
        <f t="shared" si="2"/>
        <v>-81</v>
      </c>
      <c r="K18" s="40">
        <f t="shared" si="36"/>
        <v>2.487382269787064E-2</v>
      </c>
      <c r="L18" s="40">
        <f t="shared" si="37"/>
        <v>2.4813508584984312E-2</v>
      </c>
      <c r="M18" s="40">
        <f t="shared" si="3"/>
        <v>2.4818603110680883E-2</v>
      </c>
      <c r="N18" s="40">
        <f t="shared" si="38"/>
        <v>-2.102538355960859E-5</v>
      </c>
      <c r="O18" s="40">
        <f t="shared" si="4"/>
        <v>6375684.7336960351</v>
      </c>
      <c r="P18" s="40">
        <f t="shared" si="5"/>
        <v>2.0660127362836716E-6</v>
      </c>
      <c r="Q18" s="40">
        <f t="shared" si="39"/>
        <v>-0.13589625878803277</v>
      </c>
      <c r="R18" s="40">
        <f t="shared" si="40"/>
        <v>-0.1352659089337809</v>
      </c>
      <c r="S18" s="40">
        <f t="shared" si="41"/>
        <v>-0.13610715821351563</v>
      </c>
      <c r="T18" s="40">
        <f t="shared" si="42"/>
        <v>-0.13589684589358195</v>
      </c>
      <c r="U18" s="40">
        <f t="shared" si="43"/>
        <v>-0.27137423746743794</v>
      </c>
      <c r="V18" s="40">
        <f t="shared" si="6"/>
        <v>5.0546225567071803E-3</v>
      </c>
      <c r="W18" s="40">
        <f t="shared" si="7"/>
        <v>4.2582015317955055E-5</v>
      </c>
      <c r="X18" s="40">
        <f t="shared" si="44"/>
        <v>1.6740578955036711E-7</v>
      </c>
      <c r="Y18" s="40">
        <f t="shared" si="8"/>
        <v>-431651.3684996714</v>
      </c>
      <c r="Z18" s="30" t="str">
        <f t="shared" si="9"/>
        <v>M</v>
      </c>
      <c r="AA18" s="30" t="str">
        <f t="shared" si="10"/>
        <v>M</v>
      </c>
      <c r="AB18" s="30" t="str">
        <f t="shared" si="11"/>
        <v>U</v>
      </c>
      <c r="AC18" s="38">
        <f t="shared" si="45"/>
        <v>658235.69793667644</v>
      </c>
      <c r="AD18" s="38">
        <f t="shared" si="12"/>
        <v>9568214.5800063964</v>
      </c>
      <c r="AE18" s="39">
        <f t="shared" si="13"/>
        <v>17</v>
      </c>
      <c r="AF18" s="39" t="str">
        <f t="shared" si="14"/>
        <v>M</v>
      </c>
      <c r="AG18" s="31">
        <f t="shared" si="15"/>
        <v>-79</v>
      </c>
      <c r="AH18" s="32">
        <f t="shared" si="16"/>
        <v>-34</v>
      </c>
      <c r="AI18" s="33">
        <f t="shared" si="17"/>
        <v>-29.405999999999999</v>
      </c>
      <c r="AJ18" s="31">
        <f t="shared" si="18"/>
        <v>-3</v>
      </c>
      <c r="AK18" s="32">
        <f t="shared" si="19"/>
        <v>-54</v>
      </c>
      <c r="AL18" s="33">
        <f t="shared" si="20"/>
        <v>-18.809000000000001</v>
      </c>
      <c r="AM18" s="34" t="str">
        <f t="shared" si="21"/>
        <v>3º 54' 18,809" S</v>
      </c>
      <c r="AN18" s="34" t="str">
        <f t="shared" si="22"/>
        <v>79º 34' 29,406" W</v>
      </c>
      <c r="AO18" s="34" t="str">
        <f t="shared" si="23"/>
        <v>17 M 658236 9568215</v>
      </c>
    </row>
    <row r="19" spans="2:41">
      <c r="B19" s="55" t="s">
        <v>39</v>
      </c>
      <c r="C19" s="53">
        <f>SQRT(C16^2-C17^2)/C16</f>
        <v>8.1819190842620321E-2</v>
      </c>
      <c r="D19" s="54"/>
      <c r="E19" s="41">
        <v>-3.9052246870678524</v>
      </c>
      <c r="F19" s="41">
        <v>-79.574834939055293</v>
      </c>
      <c r="G19" s="40">
        <f t="shared" si="0"/>
        <v>-1.3888428714175363</v>
      </c>
      <c r="H19" s="40">
        <f t="shared" si="35"/>
        <v>-6.8159028819499243E-2</v>
      </c>
      <c r="I19" s="40">
        <f t="shared" si="1"/>
        <v>17</v>
      </c>
      <c r="J19" s="40">
        <f t="shared" si="2"/>
        <v>-81</v>
      </c>
      <c r="K19" s="40">
        <f t="shared" si="36"/>
        <v>2.487382269787064E-2</v>
      </c>
      <c r="L19" s="40">
        <f t="shared" si="37"/>
        <v>2.4813508584984312E-2</v>
      </c>
      <c r="M19" s="40">
        <f t="shared" si="3"/>
        <v>2.4818603110680883E-2</v>
      </c>
      <c r="N19" s="40">
        <f t="shared" si="38"/>
        <v>-2.102538355960859E-5</v>
      </c>
      <c r="O19" s="40">
        <f t="shared" si="4"/>
        <v>6375684.7336960351</v>
      </c>
      <c r="P19" s="40">
        <f t="shared" si="5"/>
        <v>2.0660127362836716E-6</v>
      </c>
      <c r="Q19" s="40">
        <f t="shared" si="39"/>
        <v>-0.13589625878803277</v>
      </c>
      <c r="R19" s="40">
        <f t="shared" si="40"/>
        <v>-0.1352659089337809</v>
      </c>
      <c r="S19" s="40">
        <f t="shared" si="41"/>
        <v>-0.13610715821351563</v>
      </c>
      <c r="T19" s="40">
        <f t="shared" si="42"/>
        <v>-0.13589684589358195</v>
      </c>
      <c r="U19" s="40">
        <f t="shared" si="43"/>
        <v>-0.27137423746743794</v>
      </c>
      <c r="V19" s="40">
        <f t="shared" si="6"/>
        <v>5.0546225567071803E-3</v>
      </c>
      <c r="W19" s="40">
        <f t="shared" si="7"/>
        <v>4.2582015317955055E-5</v>
      </c>
      <c r="X19" s="40">
        <f t="shared" si="44"/>
        <v>1.6740578955036711E-7</v>
      </c>
      <c r="Y19" s="40">
        <f t="shared" si="8"/>
        <v>-431651.3684996714</v>
      </c>
      <c r="Z19" s="30" t="str">
        <f t="shared" si="9"/>
        <v>M</v>
      </c>
      <c r="AA19" s="30" t="str">
        <f t="shared" si="10"/>
        <v>M</v>
      </c>
      <c r="AB19" s="30" t="str">
        <f t="shared" si="11"/>
        <v>U</v>
      </c>
      <c r="AC19" s="38">
        <f t="shared" si="45"/>
        <v>658235.69793667644</v>
      </c>
      <c r="AD19" s="38">
        <f t="shared" si="12"/>
        <v>9568214.5800063964</v>
      </c>
      <c r="AE19" s="39">
        <f t="shared" si="13"/>
        <v>17</v>
      </c>
      <c r="AF19" s="39" t="str">
        <f t="shared" si="14"/>
        <v>M</v>
      </c>
      <c r="AG19" s="31">
        <f t="shared" si="15"/>
        <v>-79</v>
      </c>
      <c r="AH19" s="32">
        <f t="shared" si="16"/>
        <v>-34</v>
      </c>
      <c r="AI19" s="33">
        <f t="shared" si="17"/>
        <v>-29.405999999999999</v>
      </c>
      <c r="AJ19" s="31">
        <f t="shared" si="18"/>
        <v>-3</v>
      </c>
      <c r="AK19" s="32">
        <f t="shared" si="19"/>
        <v>-54</v>
      </c>
      <c r="AL19" s="33">
        <f t="shared" si="20"/>
        <v>-18.809000000000001</v>
      </c>
      <c r="AM19" s="34" t="str">
        <f t="shared" si="21"/>
        <v>3º 54' 18,809" S</v>
      </c>
      <c r="AN19" s="34" t="str">
        <f t="shared" si="22"/>
        <v>79º 34' 29,406" W</v>
      </c>
      <c r="AO19" s="34" t="str">
        <f t="shared" si="23"/>
        <v>17 M 658236 9568215</v>
      </c>
    </row>
    <row r="20" spans="2:41">
      <c r="B20" s="55" t="s">
        <v>40</v>
      </c>
      <c r="C20" s="53">
        <f>SQRT(C16^2-C17^2)/C17</f>
        <v>8.2094437949694496E-2</v>
      </c>
      <c r="D20" s="54"/>
      <c r="E20" s="41">
        <v>-3.9052246870678524</v>
      </c>
      <c r="F20" s="41">
        <v>-79.574834939055293</v>
      </c>
      <c r="G20" s="40">
        <f t="shared" si="0"/>
        <v>-1.3888428714175363</v>
      </c>
      <c r="H20" s="40">
        <f t="shared" si="35"/>
        <v>-6.8159028819499243E-2</v>
      </c>
      <c r="I20" s="40">
        <f t="shared" si="1"/>
        <v>17</v>
      </c>
      <c r="J20" s="40">
        <f t="shared" si="2"/>
        <v>-81</v>
      </c>
      <c r="K20" s="40">
        <f t="shared" si="36"/>
        <v>2.487382269787064E-2</v>
      </c>
      <c r="L20" s="40">
        <f t="shared" si="37"/>
        <v>2.4813508584984312E-2</v>
      </c>
      <c r="M20" s="40">
        <f t="shared" si="3"/>
        <v>2.4818603110680883E-2</v>
      </c>
      <c r="N20" s="40">
        <f t="shared" si="38"/>
        <v>-2.102538355960859E-5</v>
      </c>
      <c r="O20" s="40">
        <f t="shared" si="4"/>
        <v>6375684.7336960351</v>
      </c>
      <c r="P20" s="40">
        <f t="shared" si="5"/>
        <v>2.0660127362836716E-6</v>
      </c>
      <c r="Q20" s="40">
        <f t="shared" si="39"/>
        <v>-0.13589625878803277</v>
      </c>
      <c r="R20" s="40">
        <f t="shared" si="40"/>
        <v>-0.1352659089337809</v>
      </c>
      <c r="S20" s="40">
        <f t="shared" si="41"/>
        <v>-0.13610715821351563</v>
      </c>
      <c r="T20" s="40">
        <f t="shared" si="42"/>
        <v>-0.13589684589358195</v>
      </c>
      <c r="U20" s="40">
        <f t="shared" si="43"/>
        <v>-0.27137423746743794</v>
      </c>
      <c r="V20" s="40">
        <f t="shared" si="6"/>
        <v>5.0546225567071803E-3</v>
      </c>
      <c r="W20" s="40">
        <f t="shared" si="7"/>
        <v>4.2582015317955055E-5</v>
      </c>
      <c r="X20" s="40">
        <f t="shared" si="44"/>
        <v>1.6740578955036711E-7</v>
      </c>
      <c r="Y20" s="40">
        <f t="shared" si="8"/>
        <v>-431651.3684996714</v>
      </c>
      <c r="Z20" s="30" t="str">
        <f t="shared" si="9"/>
        <v>M</v>
      </c>
      <c r="AA20" s="30" t="str">
        <f t="shared" si="10"/>
        <v>M</v>
      </c>
      <c r="AB20" s="30" t="str">
        <f t="shared" si="11"/>
        <v>U</v>
      </c>
      <c r="AC20" s="38">
        <f t="shared" si="45"/>
        <v>658235.69793667644</v>
      </c>
      <c r="AD20" s="38">
        <f t="shared" si="12"/>
        <v>9568214.5800063964</v>
      </c>
      <c r="AE20" s="39">
        <f t="shared" si="13"/>
        <v>17</v>
      </c>
      <c r="AF20" s="39" t="str">
        <f t="shared" si="14"/>
        <v>M</v>
      </c>
      <c r="AG20" s="31">
        <f t="shared" si="15"/>
        <v>-79</v>
      </c>
      <c r="AH20" s="32">
        <f t="shared" si="16"/>
        <v>-34</v>
      </c>
      <c r="AI20" s="33">
        <f t="shared" si="17"/>
        <v>-29.405999999999999</v>
      </c>
      <c r="AJ20" s="31">
        <f t="shared" si="18"/>
        <v>-3</v>
      </c>
      <c r="AK20" s="32">
        <f t="shared" si="19"/>
        <v>-54</v>
      </c>
      <c r="AL20" s="33">
        <f t="shared" si="20"/>
        <v>-18.809000000000001</v>
      </c>
      <c r="AM20" s="34" t="str">
        <f t="shared" si="21"/>
        <v>3º 54' 18,809" S</v>
      </c>
      <c r="AN20" s="34" t="str">
        <f t="shared" si="22"/>
        <v>79º 34' 29,406" W</v>
      </c>
      <c r="AO20" s="34" t="str">
        <f t="shared" si="23"/>
        <v>17 M 658236 9568215</v>
      </c>
    </row>
    <row r="21" spans="2:41">
      <c r="B21" s="55" t="s">
        <v>41</v>
      </c>
      <c r="C21" s="53">
        <f>C20^2</f>
        <v>6.7394967422762398E-3</v>
      </c>
      <c r="D21" s="54"/>
      <c r="E21" s="41">
        <v>-3.9052246870678524</v>
      </c>
      <c r="F21" s="41">
        <v>-79.574834939055293</v>
      </c>
      <c r="G21" s="40">
        <f t="shared" si="0"/>
        <v>-1.3888428714175363</v>
      </c>
      <c r="H21" s="40">
        <f t="shared" si="35"/>
        <v>-6.8159028819499243E-2</v>
      </c>
      <c r="I21" s="40">
        <f t="shared" si="1"/>
        <v>17</v>
      </c>
      <c r="J21" s="40">
        <f t="shared" si="2"/>
        <v>-81</v>
      </c>
      <c r="K21" s="40">
        <f t="shared" si="36"/>
        <v>2.487382269787064E-2</v>
      </c>
      <c r="L21" s="40">
        <f t="shared" si="37"/>
        <v>2.4813508584984312E-2</v>
      </c>
      <c r="M21" s="40">
        <f t="shared" si="3"/>
        <v>2.4818603110680883E-2</v>
      </c>
      <c r="N21" s="40">
        <f t="shared" si="38"/>
        <v>-2.102538355960859E-5</v>
      </c>
      <c r="O21" s="40">
        <f t="shared" si="4"/>
        <v>6375684.7336960351</v>
      </c>
      <c r="P21" s="40">
        <f t="shared" si="5"/>
        <v>2.0660127362836716E-6</v>
      </c>
      <c r="Q21" s="40">
        <f t="shared" si="39"/>
        <v>-0.13589625878803277</v>
      </c>
      <c r="R21" s="40">
        <f t="shared" si="40"/>
        <v>-0.1352659089337809</v>
      </c>
      <c r="S21" s="40">
        <f t="shared" si="41"/>
        <v>-0.13610715821351563</v>
      </c>
      <c r="T21" s="40">
        <f t="shared" si="42"/>
        <v>-0.13589684589358195</v>
      </c>
      <c r="U21" s="40">
        <f t="shared" si="43"/>
        <v>-0.27137423746743794</v>
      </c>
      <c r="V21" s="40">
        <f t="shared" si="6"/>
        <v>5.0546225567071803E-3</v>
      </c>
      <c r="W21" s="40">
        <f t="shared" si="7"/>
        <v>4.2582015317955055E-5</v>
      </c>
      <c r="X21" s="40">
        <f t="shared" si="44"/>
        <v>1.6740578955036711E-7</v>
      </c>
      <c r="Y21" s="40">
        <f t="shared" si="8"/>
        <v>-431651.3684996714</v>
      </c>
      <c r="Z21" s="30" t="str">
        <f t="shared" si="9"/>
        <v>M</v>
      </c>
      <c r="AA21" s="30" t="str">
        <f t="shared" si="10"/>
        <v>M</v>
      </c>
      <c r="AB21" s="30" t="str">
        <f t="shared" si="11"/>
        <v>U</v>
      </c>
      <c r="AC21" s="38">
        <f t="shared" si="45"/>
        <v>658235.69793667644</v>
      </c>
      <c r="AD21" s="38">
        <f t="shared" si="12"/>
        <v>9568214.5800063964</v>
      </c>
      <c r="AE21" s="39">
        <f t="shared" si="13"/>
        <v>17</v>
      </c>
      <c r="AF21" s="39" t="str">
        <f t="shared" si="14"/>
        <v>M</v>
      </c>
      <c r="AG21" s="31">
        <f t="shared" si="15"/>
        <v>-79</v>
      </c>
      <c r="AH21" s="32">
        <f t="shared" si="16"/>
        <v>-34</v>
      </c>
      <c r="AI21" s="33">
        <f t="shared" si="17"/>
        <v>-29.405999999999999</v>
      </c>
      <c r="AJ21" s="31">
        <f t="shared" si="18"/>
        <v>-3</v>
      </c>
      <c r="AK21" s="32">
        <f t="shared" si="19"/>
        <v>-54</v>
      </c>
      <c r="AL21" s="33">
        <f t="shared" si="20"/>
        <v>-18.809000000000001</v>
      </c>
      <c r="AM21" s="34" t="str">
        <f t="shared" si="21"/>
        <v>3º 54' 18,809" S</v>
      </c>
      <c r="AN21" s="34" t="str">
        <f t="shared" si="22"/>
        <v>79º 34' 29,406" W</v>
      </c>
      <c r="AO21" s="34" t="str">
        <f t="shared" si="23"/>
        <v>17 M 658236 9568215</v>
      </c>
    </row>
    <row r="22" spans="2:41">
      <c r="B22" s="55" t="s">
        <v>42</v>
      </c>
      <c r="C22" s="53">
        <f>+(C16^2)/C17</f>
        <v>6399593.6257584924</v>
      </c>
      <c r="D22" s="54"/>
      <c r="E22" s="41">
        <v>-3.9052246870678524</v>
      </c>
      <c r="F22" s="41">
        <v>-79.574834939055293</v>
      </c>
      <c r="G22" s="40">
        <f t="shared" si="0"/>
        <v>-1.3888428714175363</v>
      </c>
      <c r="H22" s="40">
        <f t="shared" si="35"/>
        <v>-6.8159028819499243E-2</v>
      </c>
      <c r="I22" s="40">
        <f t="shared" si="1"/>
        <v>17</v>
      </c>
      <c r="J22" s="40">
        <f t="shared" si="2"/>
        <v>-81</v>
      </c>
      <c r="K22" s="40">
        <f t="shared" si="36"/>
        <v>2.487382269787064E-2</v>
      </c>
      <c r="L22" s="40">
        <f t="shared" si="37"/>
        <v>2.4813508584984312E-2</v>
      </c>
      <c r="M22" s="40">
        <f t="shared" si="3"/>
        <v>2.4818603110680883E-2</v>
      </c>
      <c r="N22" s="40">
        <f t="shared" si="38"/>
        <v>-2.102538355960859E-5</v>
      </c>
      <c r="O22" s="40">
        <f t="shared" si="4"/>
        <v>6375684.7336960351</v>
      </c>
      <c r="P22" s="40">
        <f t="shared" si="5"/>
        <v>2.0660127362836716E-6</v>
      </c>
      <c r="Q22" s="40">
        <f t="shared" si="39"/>
        <v>-0.13589625878803277</v>
      </c>
      <c r="R22" s="40">
        <f t="shared" si="40"/>
        <v>-0.1352659089337809</v>
      </c>
      <c r="S22" s="40">
        <f t="shared" si="41"/>
        <v>-0.13610715821351563</v>
      </c>
      <c r="T22" s="40">
        <f t="shared" si="42"/>
        <v>-0.13589684589358195</v>
      </c>
      <c r="U22" s="40">
        <f t="shared" si="43"/>
        <v>-0.27137423746743794</v>
      </c>
      <c r="V22" s="40">
        <f t="shared" si="6"/>
        <v>5.0546225567071803E-3</v>
      </c>
      <c r="W22" s="40">
        <f t="shared" si="7"/>
        <v>4.2582015317955055E-5</v>
      </c>
      <c r="X22" s="40">
        <f t="shared" si="44"/>
        <v>1.6740578955036711E-7</v>
      </c>
      <c r="Y22" s="40">
        <f t="shared" si="8"/>
        <v>-431651.3684996714</v>
      </c>
      <c r="Z22" s="30" t="str">
        <f t="shared" si="9"/>
        <v>M</v>
      </c>
      <c r="AA22" s="30" t="str">
        <f t="shared" si="10"/>
        <v>M</v>
      </c>
      <c r="AB22" s="30" t="str">
        <f t="shared" si="11"/>
        <v>U</v>
      </c>
      <c r="AC22" s="38">
        <f t="shared" si="45"/>
        <v>658235.69793667644</v>
      </c>
      <c r="AD22" s="38">
        <f t="shared" si="12"/>
        <v>9568214.5800063964</v>
      </c>
      <c r="AE22" s="39">
        <f t="shared" si="13"/>
        <v>17</v>
      </c>
      <c r="AF22" s="39" t="str">
        <f t="shared" si="14"/>
        <v>M</v>
      </c>
      <c r="AG22" s="31">
        <f t="shared" si="15"/>
        <v>-79</v>
      </c>
      <c r="AH22" s="32">
        <f t="shared" si="16"/>
        <v>-34</v>
      </c>
      <c r="AI22" s="33">
        <f t="shared" si="17"/>
        <v>-29.405999999999999</v>
      </c>
      <c r="AJ22" s="31">
        <f t="shared" si="18"/>
        <v>-3</v>
      </c>
      <c r="AK22" s="32">
        <f t="shared" si="19"/>
        <v>-54</v>
      </c>
      <c r="AL22" s="33">
        <f t="shared" si="20"/>
        <v>-18.809000000000001</v>
      </c>
      <c r="AM22" s="34" t="str">
        <f t="shared" si="21"/>
        <v>3º 54' 18,809" S</v>
      </c>
      <c r="AN22" s="34" t="str">
        <f t="shared" si="22"/>
        <v>79º 34' 29,406" W</v>
      </c>
      <c r="AO22" s="34" t="str">
        <f t="shared" si="23"/>
        <v>17 M 658236 9568215</v>
      </c>
    </row>
    <row r="23" spans="2:41">
      <c r="B23" s="54"/>
      <c r="C23" s="54"/>
      <c r="D23" s="54"/>
      <c r="E23" s="41">
        <v>-3.9052246870678524</v>
      </c>
      <c r="F23" s="41">
        <v>-79.574834939055293</v>
      </c>
      <c r="G23" s="40">
        <f t="shared" si="0"/>
        <v>-1.3888428714175363</v>
      </c>
      <c r="H23" s="40">
        <f t="shared" si="35"/>
        <v>-6.8159028819499243E-2</v>
      </c>
      <c r="I23" s="40">
        <f t="shared" si="1"/>
        <v>17</v>
      </c>
      <c r="J23" s="40">
        <f t="shared" si="2"/>
        <v>-81</v>
      </c>
      <c r="K23" s="40">
        <f t="shared" si="36"/>
        <v>2.487382269787064E-2</v>
      </c>
      <c r="L23" s="40">
        <f t="shared" si="37"/>
        <v>2.4813508584984312E-2</v>
      </c>
      <c r="M23" s="40">
        <f t="shared" si="3"/>
        <v>2.4818603110680883E-2</v>
      </c>
      <c r="N23" s="40">
        <f t="shared" si="38"/>
        <v>-2.102538355960859E-5</v>
      </c>
      <c r="O23" s="40">
        <f t="shared" si="4"/>
        <v>6375684.7336960351</v>
      </c>
      <c r="P23" s="40">
        <f t="shared" si="5"/>
        <v>2.0660127362836716E-6</v>
      </c>
      <c r="Q23" s="40">
        <f t="shared" si="39"/>
        <v>-0.13589625878803277</v>
      </c>
      <c r="R23" s="40">
        <f t="shared" si="40"/>
        <v>-0.1352659089337809</v>
      </c>
      <c r="S23" s="40">
        <f t="shared" si="41"/>
        <v>-0.13610715821351563</v>
      </c>
      <c r="T23" s="40">
        <f t="shared" si="42"/>
        <v>-0.13589684589358195</v>
      </c>
      <c r="U23" s="40">
        <f t="shared" si="43"/>
        <v>-0.27137423746743794</v>
      </c>
      <c r="V23" s="40">
        <f t="shared" si="6"/>
        <v>5.0546225567071803E-3</v>
      </c>
      <c r="W23" s="40">
        <f t="shared" si="7"/>
        <v>4.2582015317955055E-5</v>
      </c>
      <c r="X23" s="40">
        <f t="shared" si="44"/>
        <v>1.6740578955036711E-7</v>
      </c>
      <c r="Y23" s="40">
        <f t="shared" si="8"/>
        <v>-431651.3684996714</v>
      </c>
      <c r="Z23" s="30" t="str">
        <f t="shared" si="9"/>
        <v>M</v>
      </c>
      <c r="AA23" s="30" t="str">
        <f t="shared" si="10"/>
        <v>M</v>
      </c>
      <c r="AB23" s="30" t="str">
        <f t="shared" si="11"/>
        <v>U</v>
      </c>
      <c r="AC23" s="38">
        <f t="shared" si="45"/>
        <v>658235.69793667644</v>
      </c>
      <c r="AD23" s="38">
        <f t="shared" si="12"/>
        <v>9568214.5800063964</v>
      </c>
      <c r="AE23" s="39">
        <f t="shared" si="13"/>
        <v>17</v>
      </c>
      <c r="AF23" s="39" t="str">
        <f t="shared" si="14"/>
        <v>M</v>
      </c>
      <c r="AG23" s="31">
        <f t="shared" si="15"/>
        <v>-79</v>
      </c>
      <c r="AH23" s="32">
        <f t="shared" si="16"/>
        <v>-34</v>
      </c>
      <c r="AI23" s="33">
        <f t="shared" si="17"/>
        <v>-29.405999999999999</v>
      </c>
      <c r="AJ23" s="31">
        <f t="shared" si="18"/>
        <v>-3</v>
      </c>
      <c r="AK23" s="32">
        <f t="shared" si="19"/>
        <v>-54</v>
      </c>
      <c r="AL23" s="33">
        <f t="shared" si="20"/>
        <v>-18.809000000000001</v>
      </c>
      <c r="AM23" s="34" t="str">
        <f t="shared" si="21"/>
        <v>3º 54' 18,809" S</v>
      </c>
      <c r="AN23" s="34" t="str">
        <f t="shared" si="22"/>
        <v>79º 34' 29,406" W</v>
      </c>
      <c r="AO23" s="34" t="str">
        <f t="shared" si="23"/>
        <v>17 M 658236 9568215</v>
      </c>
    </row>
    <row r="24" spans="2:41">
      <c r="B24" s="64" t="s">
        <v>43</v>
      </c>
      <c r="C24" s="64"/>
      <c r="D24" s="54"/>
      <c r="E24" s="41">
        <v>-3.9052246870678524</v>
      </c>
      <c r="F24" s="41">
        <v>-79.574834939055293</v>
      </c>
      <c r="G24" s="40">
        <f t="shared" si="0"/>
        <v>-1.3888428714175363</v>
      </c>
      <c r="H24" s="40">
        <f t="shared" si="35"/>
        <v>-6.8159028819499243E-2</v>
      </c>
      <c r="I24" s="40">
        <f t="shared" si="1"/>
        <v>17</v>
      </c>
      <c r="J24" s="40">
        <f t="shared" si="2"/>
        <v>-81</v>
      </c>
      <c r="K24" s="40">
        <f t="shared" si="36"/>
        <v>2.487382269787064E-2</v>
      </c>
      <c r="L24" s="40">
        <f t="shared" si="37"/>
        <v>2.4813508584984312E-2</v>
      </c>
      <c r="M24" s="40">
        <f t="shared" si="3"/>
        <v>2.4818603110680883E-2</v>
      </c>
      <c r="N24" s="40">
        <f t="shared" si="38"/>
        <v>-2.102538355960859E-5</v>
      </c>
      <c r="O24" s="40">
        <f t="shared" si="4"/>
        <v>6375684.7336960351</v>
      </c>
      <c r="P24" s="40">
        <f t="shared" si="5"/>
        <v>2.0660127362836716E-6</v>
      </c>
      <c r="Q24" s="40">
        <f t="shared" si="39"/>
        <v>-0.13589625878803277</v>
      </c>
      <c r="R24" s="40">
        <f t="shared" si="40"/>
        <v>-0.1352659089337809</v>
      </c>
      <c r="S24" s="40">
        <f t="shared" si="41"/>
        <v>-0.13610715821351563</v>
      </c>
      <c r="T24" s="40">
        <f t="shared" si="42"/>
        <v>-0.13589684589358195</v>
      </c>
      <c r="U24" s="40">
        <f t="shared" si="43"/>
        <v>-0.27137423746743794</v>
      </c>
      <c r="V24" s="40">
        <f t="shared" si="6"/>
        <v>5.0546225567071803E-3</v>
      </c>
      <c r="W24" s="40">
        <f t="shared" si="7"/>
        <v>4.2582015317955055E-5</v>
      </c>
      <c r="X24" s="40">
        <f t="shared" si="44"/>
        <v>1.6740578955036711E-7</v>
      </c>
      <c r="Y24" s="40">
        <f t="shared" si="8"/>
        <v>-431651.3684996714</v>
      </c>
      <c r="Z24" s="30" t="str">
        <f t="shared" si="9"/>
        <v>M</v>
      </c>
      <c r="AA24" s="30" t="str">
        <f t="shared" si="10"/>
        <v>M</v>
      </c>
      <c r="AB24" s="30" t="str">
        <f t="shared" si="11"/>
        <v>U</v>
      </c>
      <c r="AC24" s="38">
        <f t="shared" ref="AC24:AC31" si="46">M24*O24*(1+P24/3)+500000</f>
        <v>658235.69793667644</v>
      </c>
      <c r="AD24" s="38">
        <f t="shared" si="12"/>
        <v>9568214.5800063964</v>
      </c>
      <c r="AE24" s="39">
        <f t="shared" ref="AE24:AE31" si="47">I24</f>
        <v>17</v>
      </c>
      <c r="AF24" s="39" t="str">
        <f t="shared" ref="AF24:AF31" si="48">IF(E24&lt;-16,Z24,IF(E24&lt;48,AA24,IF(E24&lt;84,AB24,"MALO")))</f>
        <v>M</v>
      </c>
      <c r="AG24" s="31">
        <f t="shared" ref="AG24:AG31" si="49">TRUNC(F24,0)</f>
        <v>-79</v>
      </c>
      <c r="AH24" s="32">
        <f t="shared" ref="AH24:AH31" si="50">TRUNC((F24-AG24)*60,0)</f>
        <v>-34</v>
      </c>
      <c r="AI24" s="33">
        <f t="shared" ref="AI24:AI31" si="51">ROUND((((F24-AG24)*60)-AH24)*60,3)</f>
        <v>-29.405999999999999</v>
      </c>
      <c r="AJ24" s="31">
        <f t="shared" ref="AJ24:AJ31" si="52">TRUNC(E24,0)</f>
        <v>-3</v>
      </c>
      <c r="AK24" s="32">
        <f t="shared" ref="AK24:AK31" si="53">TRUNC((E24-AJ24)*60,0)</f>
        <v>-54</v>
      </c>
      <c r="AL24" s="33">
        <f t="shared" ref="AL24:AL31" si="54">ROUND((((E24-AJ24)*60)-AK24)*60,3)</f>
        <v>-18.809000000000001</v>
      </c>
      <c r="AM24" s="34" t="str">
        <f t="shared" ref="AM24:AM31" si="55">CONCATENATE(-AJ24,"º ",-AK24,"' ",-AL24,""" S")</f>
        <v>3º 54' 18,809" S</v>
      </c>
      <c r="AN24" s="34" t="str">
        <f t="shared" ref="AN24:AN31" si="56">CONCATENATE(-AG24,"º ",-AH24,"' ",-AI24,""" W")</f>
        <v>79º 34' 29,406" W</v>
      </c>
      <c r="AO24" s="34" t="str">
        <f t="shared" ref="AO24:AO31" si="57">CONCATENATE(AE24," ",AF24," ",ROUND(AC24,0)," ",ROUND(AD24,0))</f>
        <v>17 M 658236 9568215</v>
      </c>
    </row>
    <row r="25" spans="2:41">
      <c r="B25" s="45" t="s">
        <v>45</v>
      </c>
      <c r="C25" s="44" t="s">
        <v>46</v>
      </c>
      <c r="D25" s="54"/>
      <c r="E25" s="41">
        <v>-3.9052246870678524</v>
      </c>
      <c r="F25" s="41">
        <v>-79.574834939055293</v>
      </c>
      <c r="G25" s="40">
        <f t="shared" si="0"/>
        <v>-1.3888428714175363</v>
      </c>
      <c r="H25" s="40">
        <f t="shared" si="35"/>
        <v>-6.8159028819499243E-2</v>
      </c>
      <c r="I25" s="40">
        <f t="shared" si="1"/>
        <v>17</v>
      </c>
      <c r="J25" s="40">
        <f t="shared" si="2"/>
        <v>-81</v>
      </c>
      <c r="K25" s="40">
        <f t="shared" si="36"/>
        <v>2.487382269787064E-2</v>
      </c>
      <c r="L25" s="40">
        <f t="shared" si="37"/>
        <v>2.4813508584984312E-2</v>
      </c>
      <c r="M25" s="40">
        <f t="shared" si="3"/>
        <v>2.4818603110680883E-2</v>
      </c>
      <c r="N25" s="40">
        <f t="shared" si="38"/>
        <v>-2.102538355960859E-5</v>
      </c>
      <c r="O25" s="40">
        <f t="shared" si="4"/>
        <v>6375684.7336960351</v>
      </c>
      <c r="P25" s="40">
        <f t="shared" si="5"/>
        <v>2.0660127362836716E-6</v>
      </c>
      <c r="Q25" s="40">
        <f t="shared" si="39"/>
        <v>-0.13589625878803277</v>
      </c>
      <c r="R25" s="40">
        <f t="shared" si="40"/>
        <v>-0.1352659089337809</v>
      </c>
      <c r="S25" s="40">
        <f t="shared" si="41"/>
        <v>-0.13610715821351563</v>
      </c>
      <c r="T25" s="40">
        <f t="shared" si="42"/>
        <v>-0.13589684589358195</v>
      </c>
      <c r="U25" s="40">
        <f t="shared" si="43"/>
        <v>-0.27137423746743794</v>
      </c>
      <c r="V25" s="40">
        <f t="shared" si="6"/>
        <v>5.0546225567071803E-3</v>
      </c>
      <c r="W25" s="40">
        <f t="shared" si="7"/>
        <v>4.2582015317955055E-5</v>
      </c>
      <c r="X25" s="40">
        <f t="shared" si="44"/>
        <v>1.6740578955036711E-7</v>
      </c>
      <c r="Y25" s="40">
        <f t="shared" si="8"/>
        <v>-431651.3684996714</v>
      </c>
      <c r="Z25" s="30" t="str">
        <f t="shared" si="9"/>
        <v>M</v>
      </c>
      <c r="AA25" s="30" t="str">
        <f t="shared" si="10"/>
        <v>M</v>
      </c>
      <c r="AB25" s="30" t="str">
        <f t="shared" si="11"/>
        <v>U</v>
      </c>
      <c r="AC25" s="38">
        <f t="shared" si="46"/>
        <v>658235.69793667644</v>
      </c>
      <c r="AD25" s="38">
        <f t="shared" si="12"/>
        <v>9568214.5800063964</v>
      </c>
      <c r="AE25" s="39">
        <f t="shared" si="47"/>
        <v>17</v>
      </c>
      <c r="AF25" s="39" t="str">
        <f t="shared" si="48"/>
        <v>M</v>
      </c>
      <c r="AG25" s="31">
        <f t="shared" si="49"/>
        <v>-79</v>
      </c>
      <c r="AH25" s="32">
        <f t="shared" si="50"/>
        <v>-34</v>
      </c>
      <c r="AI25" s="33">
        <f t="shared" si="51"/>
        <v>-29.405999999999999</v>
      </c>
      <c r="AJ25" s="31">
        <f t="shared" si="52"/>
        <v>-3</v>
      </c>
      <c r="AK25" s="32">
        <f t="shared" si="53"/>
        <v>-54</v>
      </c>
      <c r="AL25" s="33">
        <f t="shared" si="54"/>
        <v>-18.809000000000001</v>
      </c>
      <c r="AM25" s="34" t="str">
        <f t="shared" si="55"/>
        <v>3º 54' 18,809" S</v>
      </c>
      <c r="AN25" s="34" t="str">
        <f t="shared" si="56"/>
        <v>79º 34' 29,406" W</v>
      </c>
      <c r="AO25" s="34" t="str">
        <f t="shared" si="57"/>
        <v>17 M 658236 9568215</v>
      </c>
    </row>
    <row r="26" spans="2:41">
      <c r="B26" s="54"/>
      <c r="C26" s="54"/>
      <c r="D26" s="54"/>
      <c r="E26" s="41">
        <v>-3.9052246870678524</v>
      </c>
      <c r="F26" s="41">
        <v>-79.574834939055293</v>
      </c>
      <c r="G26" s="40">
        <f t="shared" si="0"/>
        <v>-1.3888428714175363</v>
      </c>
      <c r="H26" s="40">
        <f t="shared" si="35"/>
        <v>-6.8159028819499243E-2</v>
      </c>
      <c r="I26" s="40">
        <f t="shared" si="1"/>
        <v>17</v>
      </c>
      <c r="J26" s="40">
        <f t="shared" si="2"/>
        <v>-81</v>
      </c>
      <c r="K26" s="40">
        <f t="shared" si="36"/>
        <v>2.487382269787064E-2</v>
      </c>
      <c r="L26" s="40">
        <f t="shared" si="37"/>
        <v>2.4813508584984312E-2</v>
      </c>
      <c r="M26" s="40">
        <f t="shared" si="3"/>
        <v>2.4818603110680883E-2</v>
      </c>
      <c r="N26" s="40">
        <f t="shared" si="38"/>
        <v>-2.102538355960859E-5</v>
      </c>
      <c r="O26" s="40">
        <f t="shared" si="4"/>
        <v>6375684.7336960351</v>
      </c>
      <c r="P26" s="40">
        <f t="shared" si="5"/>
        <v>2.0660127362836716E-6</v>
      </c>
      <c r="Q26" s="40">
        <f t="shared" si="39"/>
        <v>-0.13589625878803277</v>
      </c>
      <c r="R26" s="40">
        <f t="shared" si="40"/>
        <v>-0.1352659089337809</v>
      </c>
      <c r="S26" s="40">
        <f t="shared" si="41"/>
        <v>-0.13610715821351563</v>
      </c>
      <c r="T26" s="40">
        <f t="shared" si="42"/>
        <v>-0.13589684589358195</v>
      </c>
      <c r="U26" s="40">
        <f t="shared" si="43"/>
        <v>-0.27137423746743794</v>
      </c>
      <c r="V26" s="40">
        <f t="shared" si="6"/>
        <v>5.0546225567071803E-3</v>
      </c>
      <c r="W26" s="40">
        <f t="shared" si="7"/>
        <v>4.2582015317955055E-5</v>
      </c>
      <c r="X26" s="40">
        <f t="shared" si="44"/>
        <v>1.6740578955036711E-7</v>
      </c>
      <c r="Y26" s="40">
        <f t="shared" si="8"/>
        <v>-431651.3684996714</v>
      </c>
      <c r="Z26" s="30" t="str">
        <f t="shared" si="9"/>
        <v>M</v>
      </c>
      <c r="AA26" s="30" t="str">
        <f t="shared" si="10"/>
        <v>M</v>
      </c>
      <c r="AB26" s="30" t="str">
        <f t="shared" si="11"/>
        <v>U</v>
      </c>
      <c r="AC26" s="38">
        <f t="shared" si="46"/>
        <v>658235.69793667644</v>
      </c>
      <c r="AD26" s="38">
        <f t="shared" si="12"/>
        <v>9568214.5800063964</v>
      </c>
      <c r="AE26" s="39">
        <f t="shared" si="47"/>
        <v>17</v>
      </c>
      <c r="AF26" s="39" t="str">
        <f t="shared" si="48"/>
        <v>M</v>
      </c>
      <c r="AG26" s="31">
        <f t="shared" si="49"/>
        <v>-79</v>
      </c>
      <c r="AH26" s="32">
        <f t="shared" si="50"/>
        <v>-34</v>
      </c>
      <c r="AI26" s="33">
        <f t="shared" si="51"/>
        <v>-29.405999999999999</v>
      </c>
      <c r="AJ26" s="31">
        <f t="shared" si="52"/>
        <v>-3</v>
      </c>
      <c r="AK26" s="32">
        <f t="shared" si="53"/>
        <v>-54</v>
      </c>
      <c r="AL26" s="33">
        <f t="shared" si="54"/>
        <v>-18.809000000000001</v>
      </c>
      <c r="AM26" s="34" t="str">
        <f t="shared" si="55"/>
        <v>3º 54' 18,809" S</v>
      </c>
      <c r="AN26" s="34" t="str">
        <f t="shared" si="56"/>
        <v>79º 34' 29,406" W</v>
      </c>
      <c r="AO26" s="34" t="str">
        <f t="shared" si="57"/>
        <v>17 M 658236 9568215</v>
      </c>
    </row>
    <row r="27" spans="2:41">
      <c r="B27" s="54"/>
      <c r="C27" s="54"/>
      <c r="D27" s="54"/>
      <c r="E27" s="41">
        <v>-3.9052246870678524</v>
      </c>
      <c r="F27" s="41">
        <v>-79.574834939055293</v>
      </c>
      <c r="G27" s="40">
        <f>F27*PI()/180</f>
        <v>-1.3888428714175363</v>
      </c>
      <c r="H27" s="40">
        <f>E27*PI()/180</f>
        <v>-6.8159028819499243E-2</v>
      </c>
      <c r="I27" s="40">
        <f>TRUNC((F27/6)+31)</f>
        <v>17</v>
      </c>
      <c r="J27" s="40">
        <f>6*I27-183</f>
        <v>-81</v>
      </c>
      <c r="K27" s="40">
        <f>+G27-((J27*PI())/180)</f>
        <v>2.487382269787064E-2</v>
      </c>
      <c r="L27" s="40">
        <f>COS(H27)*SIN(K27)</f>
        <v>2.4813508584984312E-2</v>
      </c>
      <c r="M27" s="40">
        <f>(1/2)*LN((1+L27)/(1-L27))</f>
        <v>2.4818603110680883E-2</v>
      </c>
      <c r="N27" s="40">
        <f>ATAN((TAN(H27))/COS(K27))-H27</f>
        <v>-2.102538355960859E-5</v>
      </c>
      <c r="O27" s="40">
        <f t="shared" si="4"/>
        <v>6375684.7336960351</v>
      </c>
      <c r="P27" s="40">
        <f t="shared" si="5"/>
        <v>2.0660127362836716E-6</v>
      </c>
      <c r="Q27" s="40">
        <f>SIN(2*H27)</f>
        <v>-0.13589625878803277</v>
      </c>
      <c r="R27" s="40">
        <f>+Q27*(COS(H27))^2</f>
        <v>-0.1352659089337809</v>
      </c>
      <c r="S27" s="40">
        <f>H27+(Q27/2)</f>
        <v>-0.13610715821351563</v>
      </c>
      <c r="T27" s="40">
        <f>((3*S27)+R27)/4</f>
        <v>-0.13589684589358195</v>
      </c>
      <c r="U27" s="40">
        <f>(5*T27+R27*(COS(H27))^2)/3</f>
        <v>-0.27137423746743794</v>
      </c>
      <c r="V27" s="40">
        <f t="shared" si="6"/>
        <v>5.0546225567071803E-3</v>
      </c>
      <c r="W27" s="40">
        <f>(5/3)*V27^2</f>
        <v>4.2582015317955055E-5</v>
      </c>
      <c r="X27" s="40">
        <f>(35/27)*V27^3</f>
        <v>1.6740578955036711E-7</v>
      </c>
      <c r="Y27" s="40">
        <f t="shared" si="8"/>
        <v>-431651.3684996714</v>
      </c>
      <c r="Z27" s="30" t="str">
        <f>IF(E27&lt;-72,"C",IF(E27&lt;-64,"D",IF(E27&lt;-56,"E",IF(E27&lt;-48,"F",IF(E27&lt;-40,"G",IF(E27&lt;-32,"H",IF(E27&lt;-24,"J",IF(E27&lt;-16,"K",AA27))))))))</f>
        <v>M</v>
      </c>
      <c r="AA27" s="30" t="str">
        <f>IF(E27&lt;-8,"L",IF(E27&lt;0,"M",IF(E27&lt;8,"N",IF(E27&lt;16,"P",IF(E27&lt;24,"Q",IF(E27&lt;32,"R",IF(E27&lt;40,"S",IF(E27&lt;48,"T","no"))))))))</f>
        <v>M</v>
      </c>
      <c r="AB27" s="30" t="str">
        <f>IF(E27&lt;56,"U",IF(E27&lt;64,"V",IF(E27&lt;72,"W",IF(E27&lt;84,"X","no"))))</f>
        <v>U</v>
      </c>
      <c r="AC27" s="38">
        <f t="shared" si="46"/>
        <v>658235.69793667644</v>
      </c>
      <c r="AD27" s="38">
        <f t="shared" si="12"/>
        <v>9568214.5800063964</v>
      </c>
      <c r="AE27" s="39">
        <f t="shared" si="47"/>
        <v>17</v>
      </c>
      <c r="AF27" s="39" t="str">
        <f t="shared" si="48"/>
        <v>M</v>
      </c>
      <c r="AG27" s="31">
        <f t="shared" si="49"/>
        <v>-79</v>
      </c>
      <c r="AH27" s="32">
        <f t="shared" si="50"/>
        <v>-34</v>
      </c>
      <c r="AI27" s="33">
        <f t="shared" si="51"/>
        <v>-29.405999999999999</v>
      </c>
      <c r="AJ27" s="31">
        <f t="shared" si="52"/>
        <v>-3</v>
      </c>
      <c r="AK27" s="32">
        <f t="shared" si="53"/>
        <v>-54</v>
      </c>
      <c r="AL27" s="33">
        <f t="shared" si="54"/>
        <v>-18.809000000000001</v>
      </c>
      <c r="AM27" s="34" t="str">
        <f t="shared" si="55"/>
        <v>3º 54' 18,809" S</v>
      </c>
      <c r="AN27" s="34" t="str">
        <f t="shared" si="56"/>
        <v>79º 34' 29,406" W</v>
      </c>
      <c r="AO27" s="34" t="str">
        <f t="shared" si="57"/>
        <v>17 M 658236 9568215</v>
      </c>
    </row>
    <row r="28" spans="2:41">
      <c r="B28" s="54"/>
      <c r="C28" s="54"/>
      <c r="D28" s="54"/>
      <c r="E28" s="41">
        <v>-3.9052246870678524</v>
      </c>
      <c r="F28" s="41">
        <v>-79.574834939055293</v>
      </c>
      <c r="G28" s="40">
        <f>F28*PI()/180</f>
        <v>-1.3888428714175363</v>
      </c>
      <c r="H28" s="40">
        <f>E28*PI()/180</f>
        <v>-6.8159028819499243E-2</v>
      </c>
      <c r="I28" s="40">
        <f>TRUNC((F28/6)+31)</f>
        <v>17</v>
      </c>
      <c r="J28" s="40">
        <f>6*I28-183</f>
        <v>-81</v>
      </c>
      <c r="K28" s="40">
        <f>+G28-((J28*PI())/180)</f>
        <v>2.487382269787064E-2</v>
      </c>
      <c r="L28" s="40">
        <f>COS(H28)*SIN(K28)</f>
        <v>2.4813508584984312E-2</v>
      </c>
      <c r="M28" s="40">
        <f>(1/2)*LN((1+L28)/(1-L28))</f>
        <v>2.4818603110680883E-2</v>
      </c>
      <c r="N28" s="40">
        <f>ATAN((TAN(H28))/COS(K28))-H28</f>
        <v>-2.102538355960859E-5</v>
      </c>
      <c r="O28" s="40">
        <f t="shared" si="4"/>
        <v>6375684.7336960351</v>
      </c>
      <c r="P28" s="40">
        <f t="shared" si="5"/>
        <v>2.0660127362836716E-6</v>
      </c>
      <c r="Q28" s="40">
        <f>SIN(2*H28)</f>
        <v>-0.13589625878803277</v>
      </c>
      <c r="R28" s="40">
        <f>+Q28*(COS(H28))^2</f>
        <v>-0.1352659089337809</v>
      </c>
      <c r="S28" s="40">
        <f>H28+(Q28/2)</f>
        <v>-0.13610715821351563</v>
      </c>
      <c r="T28" s="40">
        <f>((3*S28)+R28)/4</f>
        <v>-0.13589684589358195</v>
      </c>
      <c r="U28" s="40">
        <f>(5*T28+R28*(COS(H28))^2)/3</f>
        <v>-0.27137423746743794</v>
      </c>
      <c r="V28" s="40">
        <f t="shared" si="6"/>
        <v>5.0546225567071803E-3</v>
      </c>
      <c r="W28" s="40">
        <f>(5/3)*V28^2</f>
        <v>4.2582015317955055E-5</v>
      </c>
      <c r="X28" s="40">
        <f>(35/27)*V28^3</f>
        <v>1.6740578955036711E-7</v>
      </c>
      <c r="Y28" s="40">
        <f t="shared" si="8"/>
        <v>-431651.3684996714</v>
      </c>
      <c r="Z28" s="30" t="str">
        <f>IF(E28&lt;-72,"C",IF(E28&lt;-64,"D",IF(E28&lt;-56,"E",IF(E28&lt;-48,"F",IF(E28&lt;-40,"G",IF(E28&lt;-32,"H",IF(E28&lt;-24,"J",IF(E28&lt;-16,"K",AA28))))))))</f>
        <v>M</v>
      </c>
      <c r="AA28" s="30" t="str">
        <f>IF(E28&lt;-8,"L",IF(E28&lt;0,"M",IF(E28&lt;8,"N",IF(E28&lt;16,"P",IF(E28&lt;24,"Q",IF(E28&lt;32,"R",IF(E28&lt;40,"S",IF(E28&lt;48,"T","no"))))))))</f>
        <v>M</v>
      </c>
      <c r="AB28" s="30" t="str">
        <f>IF(E28&lt;56,"U",IF(E28&lt;64,"V",IF(E28&lt;72,"W",IF(E28&lt;84,"X","no"))))</f>
        <v>U</v>
      </c>
      <c r="AC28" s="38">
        <f t="shared" si="46"/>
        <v>658235.69793667644</v>
      </c>
      <c r="AD28" s="38">
        <f t="shared" si="12"/>
        <v>9568214.5800063964</v>
      </c>
      <c r="AE28" s="39">
        <f t="shared" si="47"/>
        <v>17</v>
      </c>
      <c r="AF28" s="39" t="str">
        <f t="shared" si="48"/>
        <v>M</v>
      </c>
      <c r="AG28" s="31">
        <f t="shared" si="49"/>
        <v>-79</v>
      </c>
      <c r="AH28" s="32">
        <f t="shared" si="50"/>
        <v>-34</v>
      </c>
      <c r="AI28" s="33">
        <f t="shared" si="51"/>
        <v>-29.405999999999999</v>
      </c>
      <c r="AJ28" s="31">
        <f t="shared" si="52"/>
        <v>-3</v>
      </c>
      <c r="AK28" s="32">
        <f t="shared" si="53"/>
        <v>-54</v>
      </c>
      <c r="AL28" s="33">
        <f t="shared" si="54"/>
        <v>-18.809000000000001</v>
      </c>
      <c r="AM28" s="34" t="str">
        <f t="shared" si="55"/>
        <v>3º 54' 18,809" S</v>
      </c>
      <c r="AN28" s="34" t="str">
        <f t="shared" si="56"/>
        <v>79º 34' 29,406" W</v>
      </c>
      <c r="AO28" s="34" t="str">
        <f t="shared" si="57"/>
        <v>17 M 658236 9568215</v>
      </c>
    </row>
    <row r="29" spans="2:41">
      <c r="B29" s="62" t="s">
        <v>47</v>
      </c>
      <c r="C29" s="63"/>
      <c r="D29" s="54"/>
      <c r="E29" s="41">
        <v>-3.9052246870678524</v>
      </c>
      <c r="F29" s="41">
        <v>-79.574834939055293</v>
      </c>
      <c r="G29" s="40">
        <f>F29*PI()/180</f>
        <v>-1.3888428714175363</v>
      </c>
      <c r="H29" s="40">
        <f>E29*PI()/180</f>
        <v>-6.8159028819499243E-2</v>
      </c>
      <c r="I29" s="40">
        <f>TRUNC((F29/6)+31)</f>
        <v>17</v>
      </c>
      <c r="J29" s="40">
        <f>6*I29-183</f>
        <v>-81</v>
      </c>
      <c r="K29" s="40">
        <f>+G29-((J29*PI())/180)</f>
        <v>2.487382269787064E-2</v>
      </c>
      <c r="L29" s="40">
        <f>COS(H29)*SIN(K29)</f>
        <v>2.4813508584984312E-2</v>
      </c>
      <c r="M29" s="40">
        <f>(1/2)*LN((1+L29)/(1-L29))</f>
        <v>2.4818603110680883E-2</v>
      </c>
      <c r="N29" s="40">
        <f>ATAN((TAN(H29))/COS(K29))-H29</f>
        <v>-2.102538355960859E-5</v>
      </c>
      <c r="O29" s="40">
        <f t="shared" si="4"/>
        <v>6375684.7336960351</v>
      </c>
      <c r="P29" s="40">
        <f t="shared" si="5"/>
        <v>2.0660127362836716E-6</v>
      </c>
      <c r="Q29" s="40">
        <f>SIN(2*H29)</f>
        <v>-0.13589625878803277</v>
      </c>
      <c r="R29" s="40">
        <f>+Q29*(COS(H29))^2</f>
        <v>-0.1352659089337809</v>
      </c>
      <c r="S29" s="40">
        <f>H29+(Q29/2)</f>
        <v>-0.13610715821351563</v>
      </c>
      <c r="T29" s="40">
        <f>((3*S29)+R29)/4</f>
        <v>-0.13589684589358195</v>
      </c>
      <c r="U29" s="40">
        <f>(5*T29+R29*(COS(H29))^2)/3</f>
        <v>-0.27137423746743794</v>
      </c>
      <c r="V29" s="40">
        <f t="shared" si="6"/>
        <v>5.0546225567071803E-3</v>
      </c>
      <c r="W29" s="40">
        <f>(5/3)*V29^2</f>
        <v>4.2582015317955055E-5</v>
      </c>
      <c r="X29" s="40">
        <f>(35/27)*V29^3</f>
        <v>1.6740578955036711E-7</v>
      </c>
      <c r="Y29" s="40">
        <f t="shared" si="8"/>
        <v>-431651.3684996714</v>
      </c>
      <c r="Z29" s="30" t="str">
        <f>IF(E29&lt;-72,"C",IF(E29&lt;-64,"D",IF(E29&lt;-56,"E",IF(E29&lt;-48,"F",IF(E29&lt;-40,"G",IF(E29&lt;-32,"H",IF(E29&lt;-24,"J",IF(E29&lt;-16,"K",AA29))))))))</f>
        <v>M</v>
      </c>
      <c r="AA29" s="30" t="str">
        <f>IF(E29&lt;-8,"L",IF(E29&lt;0,"M",IF(E29&lt;8,"N",IF(E29&lt;16,"P",IF(E29&lt;24,"Q",IF(E29&lt;32,"R",IF(E29&lt;40,"S",IF(E29&lt;48,"T","no"))))))))</f>
        <v>M</v>
      </c>
      <c r="AB29" s="30" t="str">
        <f>IF(E29&lt;56,"U",IF(E29&lt;64,"V",IF(E29&lt;72,"W",IF(E29&lt;84,"X","no"))))</f>
        <v>U</v>
      </c>
      <c r="AC29" s="38">
        <f t="shared" si="46"/>
        <v>658235.69793667644</v>
      </c>
      <c r="AD29" s="38">
        <f t="shared" si="12"/>
        <v>9568214.5800063964</v>
      </c>
      <c r="AE29" s="39">
        <f t="shared" si="47"/>
        <v>17</v>
      </c>
      <c r="AF29" s="39" t="str">
        <f t="shared" si="48"/>
        <v>M</v>
      </c>
      <c r="AG29" s="31">
        <f t="shared" si="49"/>
        <v>-79</v>
      </c>
      <c r="AH29" s="32">
        <f t="shared" si="50"/>
        <v>-34</v>
      </c>
      <c r="AI29" s="33">
        <f t="shared" si="51"/>
        <v>-29.405999999999999</v>
      </c>
      <c r="AJ29" s="31">
        <f t="shared" si="52"/>
        <v>-3</v>
      </c>
      <c r="AK29" s="32">
        <f t="shared" si="53"/>
        <v>-54</v>
      </c>
      <c r="AL29" s="33">
        <f t="shared" si="54"/>
        <v>-18.809000000000001</v>
      </c>
      <c r="AM29" s="34" t="str">
        <f t="shared" si="55"/>
        <v>3º 54' 18,809" S</v>
      </c>
      <c r="AN29" s="34" t="str">
        <f t="shared" si="56"/>
        <v>79º 34' 29,406" W</v>
      </c>
      <c r="AO29" s="34" t="str">
        <f t="shared" si="57"/>
        <v>17 M 658236 9568215</v>
      </c>
    </row>
    <row r="30" spans="2:41">
      <c r="B30" s="54"/>
      <c r="C30" s="54"/>
      <c r="D30" s="54"/>
      <c r="E30" s="41">
        <v>-3.9052246870678524</v>
      </c>
      <c r="F30" s="41">
        <v>-79.574834939055293</v>
      </c>
      <c r="G30" s="40">
        <f>F30*PI()/180</f>
        <v>-1.3888428714175363</v>
      </c>
      <c r="H30" s="40">
        <f>E30*PI()/180</f>
        <v>-6.8159028819499243E-2</v>
      </c>
      <c r="I30" s="40">
        <f>TRUNC((F30/6)+31)</f>
        <v>17</v>
      </c>
      <c r="J30" s="40">
        <f>6*I30-183</f>
        <v>-81</v>
      </c>
      <c r="K30" s="40">
        <f>+G30-((J30*PI())/180)</f>
        <v>2.487382269787064E-2</v>
      </c>
      <c r="L30" s="40">
        <f>COS(H30)*SIN(K30)</f>
        <v>2.4813508584984312E-2</v>
      </c>
      <c r="M30" s="40">
        <f>(1/2)*LN((1+L30)/(1-L30))</f>
        <v>2.4818603110680883E-2</v>
      </c>
      <c r="N30" s="40">
        <f>ATAN((TAN(H30))/COS(K30))-H30</f>
        <v>-2.102538355960859E-5</v>
      </c>
      <c r="O30" s="40">
        <f t="shared" si="4"/>
        <v>6375684.7336960351</v>
      </c>
      <c r="P30" s="40">
        <f t="shared" si="5"/>
        <v>2.0660127362836716E-6</v>
      </c>
      <c r="Q30" s="40">
        <f>SIN(2*H30)</f>
        <v>-0.13589625878803277</v>
      </c>
      <c r="R30" s="40">
        <f>+Q30*(COS(H30))^2</f>
        <v>-0.1352659089337809</v>
      </c>
      <c r="S30" s="40">
        <f>H30+(Q30/2)</f>
        <v>-0.13610715821351563</v>
      </c>
      <c r="T30" s="40">
        <f>((3*S30)+R30)/4</f>
        <v>-0.13589684589358195</v>
      </c>
      <c r="U30" s="40">
        <f>(5*T30+R30*(COS(H30))^2)/3</f>
        <v>-0.27137423746743794</v>
      </c>
      <c r="V30" s="40">
        <f t="shared" si="6"/>
        <v>5.0546225567071803E-3</v>
      </c>
      <c r="W30" s="40">
        <f>(5/3)*V30^2</f>
        <v>4.2582015317955055E-5</v>
      </c>
      <c r="X30" s="40">
        <f>(35/27)*V30^3</f>
        <v>1.6740578955036711E-7</v>
      </c>
      <c r="Y30" s="40">
        <f t="shared" si="8"/>
        <v>-431651.3684996714</v>
      </c>
      <c r="Z30" s="30" t="str">
        <f>IF(E30&lt;-72,"C",IF(E30&lt;-64,"D",IF(E30&lt;-56,"E",IF(E30&lt;-48,"F",IF(E30&lt;-40,"G",IF(E30&lt;-32,"H",IF(E30&lt;-24,"J",IF(E30&lt;-16,"K",AA30))))))))</f>
        <v>M</v>
      </c>
      <c r="AA30" s="30" t="str">
        <f>IF(E30&lt;-8,"L",IF(E30&lt;0,"M",IF(E30&lt;8,"N",IF(E30&lt;16,"P",IF(E30&lt;24,"Q",IF(E30&lt;32,"R",IF(E30&lt;40,"S",IF(E30&lt;48,"T","no"))))))))</f>
        <v>M</v>
      </c>
      <c r="AB30" s="30" t="str">
        <f>IF(E30&lt;56,"U",IF(E30&lt;64,"V",IF(E30&lt;72,"W",IF(E30&lt;84,"X","no"))))</f>
        <v>U</v>
      </c>
      <c r="AC30" s="38">
        <f t="shared" si="46"/>
        <v>658235.69793667644</v>
      </c>
      <c r="AD30" s="38">
        <f t="shared" si="12"/>
        <v>9568214.5800063964</v>
      </c>
      <c r="AE30" s="39">
        <f t="shared" si="47"/>
        <v>17</v>
      </c>
      <c r="AF30" s="39" t="str">
        <f t="shared" si="48"/>
        <v>M</v>
      </c>
      <c r="AG30" s="31">
        <f t="shared" si="49"/>
        <v>-79</v>
      </c>
      <c r="AH30" s="32">
        <f t="shared" si="50"/>
        <v>-34</v>
      </c>
      <c r="AI30" s="33">
        <f t="shared" si="51"/>
        <v>-29.405999999999999</v>
      </c>
      <c r="AJ30" s="31">
        <f t="shared" si="52"/>
        <v>-3</v>
      </c>
      <c r="AK30" s="32">
        <f t="shared" si="53"/>
        <v>-54</v>
      </c>
      <c r="AL30" s="33">
        <f t="shared" si="54"/>
        <v>-18.809000000000001</v>
      </c>
      <c r="AM30" s="34" t="str">
        <f t="shared" si="55"/>
        <v>3º 54' 18,809" S</v>
      </c>
      <c r="AN30" s="34" t="str">
        <f t="shared" si="56"/>
        <v>79º 34' 29,406" W</v>
      </c>
      <c r="AO30" s="34" t="str">
        <f t="shared" si="57"/>
        <v>17 M 658236 9568215</v>
      </c>
    </row>
    <row r="31" spans="2:41">
      <c r="B31" s="54"/>
      <c r="C31" s="54"/>
      <c r="D31" s="54"/>
      <c r="E31" s="41">
        <v>-3.9052246870678524</v>
      </c>
      <c r="F31" s="41">
        <v>-79.574834939055293</v>
      </c>
      <c r="G31" s="40">
        <f>F31*PI()/180</f>
        <v>-1.3888428714175363</v>
      </c>
      <c r="H31" s="40">
        <f>E31*PI()/180</f>
        <v>-6.8159028819499243E-2</v>
      </c>
      <c r="I31" s="40">
        <f>TRUNC((F31/6)+31)</f>
        <v>17</v>
      </c>
      <c r="J31" s="40">
        <f>6*I31-183</f>
        <v>-81</v>
      </c>
      <c r="K31" s="40">
        <f>+G31-((J31*PI())/180)</f>
        <v>2.487382269787064E-2</v>
      </c>
      <c r="L31" s="40">
        <f>COS(H31)*SIN(K31)</f>
        <v>2.4813508584984312E-2</v>
      </c>
      <c r="M31" s="40">
        <f>(1/2)*LN((1+L31)/(1-L31))</f>
        <v>2.4818603110680883E-2</v>
      </c>
      <c r="N31" s="40">
        <f>ATAN((TAN(H31))/COS(K31))-H31</f>
        <v>-2.102538355960859E-5</v>
      </c>
      <c r="O31" s="40">
        <f t="shared" si="4"/>
        <v>6375684.7336960351</v>
      </c>
      <c r="P31" s="40">
        <f t="shared" si="5"/>
        <v>2.0660127362836716E-6</v>
      </c>
      <c r="Q31" s="40">
        <f>SIN(2*H31)</f>
        <v>-0.13589625878803277</v>
      </c>
      <c r="R31" s="40">
        <f>+Q31*(COS(H31))^2</f>
        <v>-0.1352659089337809</v>
      </c>
      <c r="S31" s="40">
        <f>H31+(Q31/2)</f>
        <v>-0.13610715821351563</v>
      </c>
      <c r="T31" s="40">
        <f>((3*S31)+R31)/4</f>
        <v>-0.13589684589358195</v>
      </c>
      <c r="U31" s="40">
        <f>(5*T31+R31*(COS(H31))^2)/3</f>
        <v>-0.27137423746743794</v>
      </c>
      <c r="V31" s="40">
        <f t="shared" si="6"/>
        <v>5.0546225567071803E-3</v>
      </c>
      <c r="W31" s="40">
        <f>(5/3)*V31^2</f>
        <v>4.2582015317955055E-5</v>
      </c>
      <c r="X31" s="40">
        <f>(35/27)*V31^3</f>
        <v>1.6740578955036711E-7</v>
      </c>
      <c r="Y31" s="40">
        <f t="shared" si="8"/>
        <v>-431651.3684996714</v>
      </c>
      <c r="Z31" s="30" t="str">
        <f>IF(E31&lt;-72,"C",IF(E31&lt;-64,"D",IF(E31&lt;-56,"E",IF(E31&lt;-48,"F",IF(E31&lt;-40,"G",IF(E31&lt;-32,"H",IF(E31&lt;-24,"J",IF(E31&lt;-16,"K",AA31))))))))</f>
        <v>M</v>
      </c>
      <c r="AA31" s="30" t="str">
        <f>IF(E31&lt;-8,"L",IF(E31&lt;0,"M",IF(E31&lt;8,"N",IF(E31&lt;16,"P",IF(E31&lt;24,"Q",IF(E31&lt;32,"R",IF(E31&lt;40,"S",IF(E31&lt;48,"T","no"))))))))</f>
        <v>M</v>
      </c>
      <c r="AB31" s="30" t="str">
        <f>IF(E31&lt;56,"U",IF(E31&lt;64,"V",IF(E31&lt;72,"W",IF(E31&lt;84,"X","no"))))</f>
        <v>U</v>
      </c>
      <c r="AC31" s="38">
        <f t="shared" si="46"/>
        <v>658235.69793667644</v>
      </c>
      <c r="AD31" s="38">
        <f t="shared" si="12"/>
        <v>9568214.5800063964</v>
      </c>
      <c r="AE31" s="39">
        <f t="shared" si="47"/>
        <v>17</v>
      </c>
      <c r="AF31" s="39" t="str">
        <f t="shared" si="48"/>
        <v>M</v>
      </c>
      <c r="AG31" s="31">
        <f t="shared" si="49"/>
        <v>-79</v>
      </c>
      <c r="AH31" s="32">
        <f t="shared" si="50"/>
        <v>-34</v>
      </c>
      <c r="AI31" s="33">
        <f t="shared" si="51"/>
        <v>-29.405999999999999</v>
      </c>
      <c r="AJ31" s="31">
        <f t="shared" si="52"/>
        <v>-3</v>
      </c>
      <c r="AK31" s="32">
        <f t="shared" si="53"/>
        <v>-54</v>
      </c>
      <c r="AL31" s="33">
        <f t="shared" si="54"/>
        <v>-18.809000000000001</v>
      </c>
      <c r="AM31" s="34" t="str">
        <f t="shared" si="55"/>
        <v>3º 54' 18,809" S</v>
      </c>
      <c r="AN31" s="34" t="str">
        <f t="shared" si="56"/>
        <v>79º 34' 29,406" W</v>
      </c>
      <c r="AO31" s="34" t="str">
        <f t="shared" si="57"/>
        <v>17 M 658236 9568215</v>
      </c>
    </row>
  </sheetData>
  <mergeCells count="7">
    <mergeCell ref="AM3:AN3"/>
    <mergeCell ref="E2:F2"/>
    <mergeCell ref="B29:C29"/>
    <mergeCell ref="E3:F3"/>
    <mergeCell ref="AC3:AF3"/>
    <mergeCell ref="B15:C15"/>
    <mergeCell ref="B24:C24"/>
  </mergeCells>
  <dataValidations count="1">
    <dataValidation type="list" allowBlank="1" showInputMessage="1" showErrorMessage="1" errorTitle="Atención:" error="Introduce CON MAYÚSCULAS uno de estos dos valores:_x000a_- N, si la latitud está referida al norte del Ecuador._x000a_- S, si la latitud está referida al sur del Ecuador." sqref="C25" xr:uid="{00000000-0002-0000-0100-000000000000}">
      <formula1>"N,S"</formula1>
    </dataValidation>
  </dataValidations>
  <hyperlinks>
    <hyperlink ref="B29" r:id="rId1" xr:uid="{00000000-0004-0000-0100-000000000000}"/>
  </hyperlinks>
  <pageMargins left="0.75" right="0.75" top="1" bottom="1" header="0" footer="0"/>
  <pageSetup paperSize="122" orientation="portrait" r:id="rId2"/>
  <headerFooter alignWithMargins="0"/>
  <drawing r:id="rId3"/>
  <legacy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K28"/>
  <sheetViews>
    <sheetView workbookViewId="0">
      <selection activeCell="O16" sqref="O16"/>
    </sheetView>
  </sheetViews>
  <sheetFormatPr defaultColWidth="11.42578125" defaultRowHeight="15"/>
  <cols>
    <col min="1" max="1" width="11.42578125" style="5"/>
    <col min="2" max="9" width="7.7109375" style="5" customWidth="1"/>
    <col min="10" max="11" width="13.7109375" style="5" customWidth="1"/>
    <col min="12" max="16384" width="11.42578125" style="5"/>
  </cols>
  <sheetData>
    <row r="1" spans="2:11" s="1" customFormat="1" ht="18.75">
      <c r="B1" s="3" t="s">
        <v>59</v>
      </c>
      <c r="E1" s="4"/>
      <c r="F1" s="4"/>
    </row>
    <row r="3" spans="2:11">
      <c r="B3" s="67" t="s">
        <v>33</v>
      </c>
      <c r="C3" s="68"/>
      <c r="D3" s="68"/>
      <c r="E3" s="69"/>
      <c r="F3" s="68" t="s">
        <v>34</v>
      </c>
      <c r="G3" s="68"/>
      <c r="H3" s="68"/>
      <c r="I3" s="69"/>
      <c r="J3" s="2" t="s">
        <v>33</v>
      </c>
      <c r="K3" s="2" t="s">
        <v>34</v>
      </c>
    </row>
    <row r="4" spans="2:11">
      <c r="B4" s="6">
        <v>3</v>
      </c>
      <c r="C4" s="7">
        <v>54</v>
      </c>
      <c r="D4" s="8">
        <v>18.8</v>
      </c>
      <c r="E4" s="48" t="s">
        <v>46</v>
      </c>
      <c r="F4" s="6">
        <v>79</v>
      </c>
      <c r="G4" s="7">
        <v>34</v>
      </c>
      <c r="H4" s="8">
        <v>29.4</v>
      </c>
      <c r="I4" s="48" t="s">
        <v>60</v>
      </c>
      <c r="J4" s="9">
        <f>IF(E4="S",-1*(((D4/60)/60)+(C4/60)+B4),((D4/60)/60)+(C4/60)+B4)</f>
        <v>-3.9052222222222222</v>
      </c>
      <c r="K4" s="9">
        <f>IF(I4="W",-1*(((H4/60)/60)+(G4/60)+F4),((H4/60)/60)+(G4/60)+F4)</f>
        <v>-79.574833333333331</v>
      </c>
    </row>
    <row r="5" spans="2:11">
      <c r="B5" s="6">
        <v>4</v>
      </c>
      <c r="C5" s="7">
        <v>10</v>
      </c>
      <c r="D5" s="8">
        <v>30</v>
      </c>
      <c r="E5" s="48" t="s">
        <v>46</v>
      </c>
      <c r="F5" s="6">
        <v>79</v>
      </c>
      <c r="G5" s="7">
        <v>34</v>
      </c>
      <c r="H5" s="8">
        <v>29.4</v>
      </c>
      <c r="I5" s="48" t="s">
        <v>60</v>
      </c>
      <c r="J5" s="9">
        <f t="shared" ref="J5:J28" si="0">IF(E5="S",-1*(((D5/60)/60)+(C5/60)+B5),((D5/60)/60)+(C5/60)+B5)</f>
        <v>-4.1749999999999998</v>
      </c>
      <c r="K5" s="9">
        <f t="shared" ref="K5:K28" si="1">IF(I5="W",-1*(((H5/60)/60)+(G5/60)+F5),((H5/60)/60)+(G5/60)+F5)</f>
        <v>-79.574833333333331</v>
      </c>
    </row>
    <row r="6" spans="2:11">
      <c r="B6" s="6">
        <v>4</v>
      </c>
      <c r="C6" s="7">
        <v>10</v>
      </c>
      <c r="D6" s="8">
        <v>30</v>
      </c>
      <c r="E6" s="48" t="s">
        <v>46</v>
      </c>
      <c r="F6" s="6">
        <v>79</v>
      </c>
      <c r="G6" s="7">
        <v>34</v>
      </c>
      <c r="H6" s="8">
        <v>29.4</v>
      </c>
      <c r="I6" s="48" t="s">
        <v>60</v>
      </c>
      <c r="J6" s="9">
        <f t="shared" si="0"/>
        <v>-4.1749999999999998</v>
      </c>
      <c r="K6" s="9">
        <f t="shared" si="1"/>
        <v>-79.574833333333331</v>
      </c>
    </row>
    <row r="7" spans="2:11">
      <c r="B7" s="6">
        <v>4</v>
      </c>
      <c r="C7" s="7">
        <v>10</v>
      </c>
      <c r="D7" s="8">
        <v>30</v>
      </c>
      <c r="E7" s="48" t="s">
        <v>46</v>
      </c>
      <c r="F7" s="6">
        <v>79</v>
      </c>
      <c r="G7" s="7">
        <v>34</v>
      </c>
      <c r="H7" s="8">
        <v>29.4</v>
      </c>
      <c r="I7" s="48" t="s">
        <v>60</v>
      </c>
      <c r="J7" s="9">
        <f t="shared" si="0"/>
        <v>-4.1749999999999998</v>
      </c>
      <c r="K7" s="9">
        <f t="shared" si="1"/>
        <v>-79.574833333333331</v>
      </c>
    </row>
    <row r="8" spans="2:11">
      <c r="B8" s="6">
        <v>4</v>
      </c>
      <c r="C8" s="7">
        <v>10</v>
      </c>
      <c r="D8" s="8">
        <v>30</v>
      </c>
      <c r="E8" s="48" t="s">
        <v>46</v>
      </c>
      <c r="F8" s="6">
        <v>79</v>
      </c>
      <c r="G8" s="7">
        <v>34</v>
      </c>
      <c r="H8" s="8">
        <v>29.4</v>
      </c>
      <c r="I8" s="48" t="s">
        <v>60</v>
      </c>
      <c r="J8" s="9">
        <f t="shared" si="0"/>
        <v>-4.1749999999999998</v>
      </c>
      <c r="K8" s="9">
        <f t="shared" si="1"/>
        <v>-79.574833333333331</v>
      </c>
    </row>
    <row r="9" spans="2:11">
      <c r="B9" s="6">
        <v>4</v>
      </c>
      <c r="C9" s="7">
        <v>10</v>
      </c>
      <c r="D9" s="8">
        <v>30</v>
      </c>
      <c r="E9" s="48" t="s">
        <v>46</v>
      </c>
      <c r="F9" s="6">
        <v>79</v>
      </c>
      <c r="G9" s="7">
        <v>34</v>
      </c>
      <c r="H9" s="8">
        <v>29.4</v>
      </c>
      <c r="I9" s="48" t="s">
        <v>60</v>
      </c>
      <c r="J9" s="9">
        <f t="shared" si="0"/>
        <v>-4.1749999999999998</v>
      </c>
      <c r="K9" s="9">
        <f t="shared" si="1"/>
        <v>-79.574833333333331</v>
      </c>
    </row>
    <row r="10" spans="2:11">
      <c r="B10" s="6">
        <v>4</v>
      </c>
      <c r="C10" s="7">
        <v>10</v>
      </c>
      <c r="D10" s="8">
        <v>30</v>
      </c>
      <c r="E10" s="48" t="s">
        <v>46</v>
      </c>
      <c r="F10" s="6">
        <v>79</v>
      </c>
      <c r="G10" s="7">
        <v>34</v>
      </c>
      <c r="H10" s="8">
        <v>29.4</v>
      </c>
      <c r="I10" s="48" t="s">
        <v>60</v>
      </c>
      <c r="J10" s="9">
        <f t="shared" si="0"/>
        <v>-4.1749999999999998</v>
      </c>
      <c r="K10" s="9">
        <f t="shared" si="1"/>
        <v>-79.574833333333331</v>
      </c>
    </row>
    <row r="11" spans="2:11">
      <c r="B11" s="6">
        <v>4</v>
      </c>
      <c r="C11" s="7">
        <v>10</v>
      </c>
      <c r="D11" s="8">
        <v>30</v>
      </c>
      <c r="E11" s="48" t="s">
        <v>46</v>
      </c>
      <c r="F11" s="6">
        <v>79</v>
      </c>
      <c r="G11" s="7">
        <v>34</v>
      </c>
      <c r="H11" s="8">
        <v>29.4</v>
      </c>
      <c r="I11" s="48" t="s">
        <v>60</v>
      </c>
      <c r="J11" s="9">
        <f t="shared" si="0"/>
        <v>-4.1749999999999998</v>
      </c>
      <c r="K11" s="9">
        <f t="shared" si="1"/>
        <v>-79.574833333333331</v>
      </c>
    </row>
    <row r="12" spans="2:11">
      <c r="B12" s="6">
        <v>4</v>
      </c>
      <c r="C12" s="7">
        <v>10</v>
      </c>
      <c r="D12" s="8">
        <v>30</v>
      </c>
      <c r="E12" s="48" t="s">
        <v>46</v>
      </c>
      <c r="F12" s="6">
        <v>79</v>
      </c>
      <c r="G12" s="7">
        <v>34</v>
      </c>
      <c r="H12" s="8">
        <v>29.4</v>
      </c>
      <c r="I12" s="48" t="s">
        <v>60</v>
      </c>
      <c r="J12" s="9">
        <f t="shared" si="0"/>
        <v>-4.1749999999999998</v>
      </c>
      <c r="K12" s="9">
        <f t="shared" si="1"/>
        <v>-79.574833333333331</v>
      </c>
    </row>
    <row r="13" spans="2:11">
      <c r="B13" s="6">
        <v>4</v>
      </c>
      <c r="C13" s="7">
        <v>10</v>
      </c>
      <c r="D13" s="8">
        <v>30</v>
      </c>
      <c r="E13" s="48" t="s">
        <v>46</v>
      </c>
      <c r="F13" s="6">
        <v>79</v>
      </c>
      <c r="G13" s="7">
        <v>34</v>
      </c>
      <c r="H13" s="8">
        <v>29.4</v>
      </c>
      <c r="I13" s="48" t="s">
        <v>60</v>
      </c>
      <c r="J13" s="9">
        <f t="shared" si="0"/>
        <v>-4.1749999999999998</v>
      </c>
      <c r="K13" s="9">
        <f t="shared" si="1"/>
        <v>-79.574833333333331</v>
      </c>
    </row>
    <row r="14" spans="2:11">
      <c r="B14" s="6">
        <v>4</v>
      </c>
      <c r="C14" s="7">
        <v>10</v>
      </c>
      <c r="D14" s="8">
        <v>30</v>
      </c>
      <c r="E14" s="48" t="s">
        <v>46</v>
      </c>
      <c r="F14" s="6">
        <v>79</v>
      </c>
      <c r="G14" s="7">
        <v>34</v>
      </c>
      <c r="H14" s="8">
        <v>29.4</v>
      </c>
      <c r="I14" s="48" t="s">
        <v>60</v>
      </c>
      <c r="J14" s="9">
        <f t="shared" si="0"/>
        <v>-4.1749999999999998</v>
      </c>
      <c r="K14" s="9">
        <f t="shared" si="1"/>
        <v>-79.574833333333331</v>
      </c>
    </row>
    <row r="15" spans="2:11">
      <c r="B15" s="6">
        <v>4</v>
      </c>
      <c r="C15" s="7">
        <v>10</v>
      </c>
      <c r="D15" s="8">
        <v>30</v>
      </c>
      <c r="E15" s="48" t="s">
        <v>46</v>
      </c>
      <c r="F15" s="6">
        <v>79</v>
      </c>
      <c r="G15" s="7">
        <v>34</v>
      </c>
      <c r="H15" s="8">
        <v>29.4</v>
      </c>
      <c r="I15" s="48" t="s">
        <v>60</v>
      </c>
      <c r="J15" s="9">
        <f t="shared" si="0"/>
        <v>-4.1749999999999998</v>
      </c>
      <c r="K15" s="9">
        <f t="shared" si="1"/>
        <v>-79.574833333333331</v>
      </c>
    </row>
    <row r="16" spans="2:11">
      <c r="B16" s="6">
        <v>4</v>
      </c>
      <c r="C16" s="7">
        <v>10</v>
      </c>
      <c r="D16" s="8">
        <v>30</v>
      </c>
      <c r="E16" s="48" t="s">
        <v>46</v>
      </c>
      <c r="F16" s="6">
        <v>79</v>
      </c>
      <c r="G16" s="7">
        <v>34</v>
      </c>
      <c r="H16" s="8">
        <v>29.4</v>
      </c>
      <c r="I16" s="48" t="s">
        <v>60</v>
      </c>
      <c r="J16" s="9">
        <f t="shared" si="0"/>
        <v>-4.1749999999999998</v>
      </c>
      <c r="K16" s="9">
        <f t="shared" si="1"/>
        <v>-79.574833333333331</v>
      </c>
    </row>
    <row r="17" spans="2:11">
      <c r="B17" s="6">
        <v>4</v>
      </c>
      <c r="C17" s="7">
        <v>10</v>
      </c>
      <c r="D17" s="8">
        <v>30</v>
      </c>
      <c r="E17" s="48" t="s">
        <v>46</v>
      </c>
      <c r="F17" s="6">
        <v>79</v>
      </c>
      <c r="G17" s="7">
        <v>34</v>
      </c>
      <c r="H17" s="8">
        <v>29.4</v>
      </c>
      <c r="I17" s="48" t="s">
        <v>60</v>
      </c>
      <c r="J17" s="9">
        <f t="shared" si="0"/>
        <v>-4.1749999999999998</v>
      </c>
      <c r="K17" s="9">
        <f t="shared" si="1"/>
        <v>-79.574833333333331</v>
      </c>
    </row>
    <row r="18" spans="2:11">
      <c r="B18" s="6">
        <v>4</v>
      </c>
      <c r="C18" s="7">
        <v>10</v>
      </c>
      <c r="D18" s="8">
        <v>30</v>
      </c>
      <c r="E18" s="48" t="s">
        <v>46</v>
      </c>
      <c r="F18" s="6">
        <v>79</v>
      </c>
      <c r="G18" s="7">
        <v>34</v>
      </c>
      <c r="H18" s="8">
        <v>29.4</v>
      </c>
      <c r="I18" s="48" t="s">
        <v>60</v>
      </c>
      <c r="J18" s="9">
        <f t="shared" si="0"/>
        <v>-4.1749999999999998</v>
      </c>
      <c r="K18" s="9">
        <f t="shared" si="1"/>
        <v>-79.574833333333331</v>
      </c>
    </row>
    <row r="19" spans="2:11">
      <c r="B19" s="6">
        <v>4</v>
      </c>
      <c r="C19" s="7">
        <v>10</v>
      </c>
      <c r="D19" s="8">
        <v>30</v>
      </c>
      <c r="E19" s="48" t="s">
        <v>46</v>
      </c>
      <c r="F19" s="6">
        <v>79</v>
      </c>
      <c r="G19" s="7">
        <v>34</v>
      </c>
      <c r="H19" s="8">
        <v>29.4</v>
      </c>
      <c r="I19" s="48" t="s">
        <v>60</v>
      </c>
      <c r="J19" s="9">
        <f t="shared" si="0"/>
        <v>-4.1749999999999998</v>
      </c>
      <c r="K19" s="9">
        <f t="shared" si="1"/>
        <v>-79.574833333333331</v>
      </c>
    </row>
    <row r="20" spans="2:11">
      <c r="B20" s="6">
        <v>4</v>
      </c>
      <c r="C20" s="7">
        <v>10</v>
      </c>
      <c r="D20" s="8">
        <v>30</v>
      </c>
      <c r="E20" s="48" t="s">
        <v>46</v>
      </c>
      <c r="F20" s="6">
        <v>79</v>
      </c>
      <c r="G20" s="7">
        <v>34</v>
      </c>
      <c r="H20" s="8">
        <v>29.4</v>
      </c>
      <c r="I20" s="48" t="s">
        <v>60</v>
      </c>
      <c r="J20" s="9">
        <f t="shared" si="0"/>
        <v>-4.1749999999999998</v>
      </c>
      <c r="K20" s="9">
        <f t="shared" si="1"/>
        <v>-79.574833333333331</v>
      </c>
    </row>
    <row r="21" spans="2:11">
      <c r="B21" s="6">
        <v>4</v>
      </c>
      <c r="C21" s="7">
        <v>10</v>
      </c>
      <c r="D21" s="8">
        <v>30</v>
      </c>
      <c r="E21" s="48" t="s">
        <v>46</v>
      </c>
      <c r="F21" s="6">
        <v>79</v>
      </c>
      <c r="G21" s="7">
        <v>34</v>
      </c>
      <c r="H21" s="8">
        <v>29.4</v>
      </c>
      <c r="I21" s="48" t="s">
        <v>60</v>
      </c>
      <c r="J21" s="9">
        <f t="shared" si="0"/>
        <v>-4.1749999999999998</v>
      </c>
      <c r="K21" s="9">
        <f t="shared" si="1"/>
        <v>-79.574833333333331</v>
      </c>
    </row>
    <row r="22" spans="2:11">
      <c r="B22" s="6">
        <v>4</v>
      </c>
      <c r="C22" s="7">
        <v>10</v>
      </c>
      <c r="D22" s="8">
        <v>30</v>
      </c>
      <c r="E22" s="48" t="s">
        <v>46</v>
      </c>
      <c r="F22" s="6">
        <v>79</v>
      </c>
      <c r="G22" s="7">
        <v>34</v>
      </c>
      <c r="H22" s="8">
        <v>29.4</v>
      </c>
      <c r="I22" s="48" t="s">
        <v>60</v>
      </c>
      <c r="J22" s="9">
        <f t="shared" si="0"/>
        <v>-4.1749999999999998</v>
      </c>
      <c r="K22" s="9">
        <f t="shared" si="1"/>
        <v>-79.574833333333331</v>
      </c>
    </row>
    <row r="23" spans="2:11">
      <c r="B23" s="6">
        <v>4</v>
      </c>
      <c r="C23" s="7">
        <v>10</v>
      </c>
      <c r="D23" s="8">
        <v>30</v>
      </c>
      <c r="E23" s="48" t="s">
        <v>46</v>
      </c>
      <c r="F23" s="6">
        <v>79</v>
      </c>
      <c r="G23" s="7">
        <v>34</v>
      </c>
      <c r="H23" s="8">
        <v>29.4</v>
      </c>
      <c r="I23" s="48" t="s">
        <v>60</v>
      </c>
      <c r="J23" s="9">
        <f t="shared" si="0"/>
        <v>-4.1749999999999998</v>
      </c>
      <c r="K23" s="9">
        <f t="shared" si="1"/>
        <v>-79.574833333333331</v>
      </c>
    </row>
    <row r="24" spans="2:11">
      <c r="B24" s="6">
        <v>4</v>
      </c>
      <c r="C24" s="7">
        <v>10</v>
      </c>
      <c r="D24" s="8">
        <v>30</v>
      </c>
      <c r="E24" s="48" t="s">
        <v>46</v>
      </c>
      <c r="F24" s="6">
        <v>79</v>
      </c>
      <c r="G24" s="7">
        <v>34</v>
      </c>
      <c r="H24" s="8">
        <v>29.4</v>
      </c>
      <c r="I24" s="48" t="s">
        <v>60</v>
      </c>
      <c r="J24" s="9">
        <f t="shared" si="0"/>
        <v>-4.1749999999999998</v>
      </c>
      <c r="K24" s="9">
        <f t="shared" si="1"/>
        <v>-79.574833333333331</v>
      </c>
    </row>
    <row r="25" spans="2:11">
      <c r="B25" s="6">
        <v>4</v>
      </c>
      <c r="C25" s="7">
        <v>10</v>
      </c>
      <c r="D25" s="8">
        <v>30</v>
      </c>
      <c r="E25" s="48" t="s">
        <v>46</v>
      </c>
      <c r="F25" s="6">
        <v>79</v>
      </c>
      <c r="G25" s="7">
        <v>34</v>
      </c>
      <c r="H25" s="8">
        <v>29.4</v>
      </c>
      <c r="I25" s="48" t="s">
        <v>60</v>
      </c>
      <c r="J25" s="9">
        <f t="shared" si="0"/>
        <v>-4.1749999999999998</v>
      </c>
      <c r="K25" s="9">
        <f t="shared" si="1"/>
        <v>-79.574833333333331</v>
      </c>
    </row>
    <row r="26" spans="2:11">
      <c r="B26" s="6">
        <v>4</v>
      </c>
      <c r="C26" s="7">
        <v>10</v>
      </c>
      <c r="D26" s="8">
        <v>30</v>
      </c>
      <c r="E26" s="48" t="s">
        <v>46</v>
      </c>
      <c r="F26" s="6">
        <v>79</v>
      </c>
      <c r="G26" s="7">
        <v>34</v>
      </c>
      <c r="H26" s="8">
        <v>29.4</v>
      </c>
      <c r="I26" s="48" t="s">
        <v>60</v>
      </c>
      <c r="J26" s="9">
        <f t="shared" si="0"/>
        <v>-4.1749999999999998</v>
      </c>
      <c r="K26" s="9">
        <f t="shared" si="1"/>
        <v>-79.574833333333331</v>
      </c>
    </row>
    <row r="27" spans="2:11">
      <c r="B27" s="6">
        <v>4</v>
      </c>
      <c r="C27" s="7">
        <v>10</v>
      </c>
      <c r="D27" s="8">
        <v>30</v>
      </c>
      <c r="E27" s="48" t="s">
        <v>46</v>
      </c>
      <c r="F27" s="6">
        <v>79</v>
      </c>
      <c r="G27" s="7">
        <v>34</v>
      </c>
      <c r="H27" s="8">
        <v>29.4</v>
      </c>
      <c r="I27" s="48" t="s">
        <v>60</v>
      </c>
      <c r="J27" s="9">
        <f t="shared" si="0"/>
        <v>-4.1749999999999998</v>
      </c>
      <c r="K27" s="9">
        <f t="shared" si="1"/>
        <v>-79.574833333333331</v>
      </c>
    </row>
    <row r="28" spans="2:11">
      <c r="B28" s="6">
        <v>4</v>
      </c>
      <c r="C28" s="7">
        <v>10</v>
      </c>
      <c r="D28" s="8">
        <v>30</v>
      </c>
      <c r="E28" s="48" t="s">
        <v>46</v>
      </c>
      <c r="F28" s="6">
        <v>79</v>
      </c>
      <c r="G28" s="7">
        <v>34</v>
      </c>
      <c r="H28" s="8">
        <v>29.4</v>
      </c>
      <c r="I28" s="48" t="s">
        <v>60</v>
      </c>
      <c r="J28" s="9">
        <f t="shared" si="0"/>
        <v>-4.1749999999999998</v>
      </c>
      <c r="K28" s="9">
        <f t="shared" si="1"/>
        <v>-79.574833333333331</v>
      </c>
    </row>
  </sheetData>
  <mergeCells count="2">
    <mergeCell ref="B3:E3"/>
    <mergeCell ref="F3:I3"/>
  </mergeCells>
  <phoneticPr fontId="18" type="noConversion"/>
  <dataValidations count="8">
    <dataValidation type="list" allowBlank="1" showInputMessage="1" showErrorMessage="1" errorTitle="Atención" error="Introduce CON MAYÚSCULAS uno de estos dos valores:_x000a_- W, si la longitud está referida al oeste del meridiano Greenwich._x000a_- E, si la longitud está referida al este del meridiano Greenwich." sqref="I4:I28" xr:uid="{00000000-0002-0000-0200-000000000000}">
      <formula1>"W,E"</formula1>
    </dataValidation>
    <dataValidation type="list" allowBlank="1" showInputMessage="1" showErrorMessage="1" errorTitle="Atención:" error="Introduce CON MAYÚSCULAS uno de estos dos valores:_x000a_- N, si la latitud está referida al norte del Ecuador._x000a_- S, si la latitud está referida al sur del Ecuador." sqref="E4:E28" xr:uid="{00000000-0002-0000-0200-000001000000}">
      <formula1>"N,S"</formula1>
    </dataValidation>
    <dataValidation type="whole" allowBlank="1" showInputMessage="1" showErrorMessage="1" errorTitle="Atención:" error="El valor de los grados de la longitud ha de estar entre 0° y 180°. Para utilizar valores de longitud negativos, utiliza la opción Oeste (W) o Este (E) del meridiano Greenwich, con el selector situado a la derecha." sqref="F4:F28" xr:uid="{00000000-0002-0000-0200-000002000000}">
      <formula1>0</formula1>
      <formula2>180</formula2>
    </dataValidation>
    <dataValidation type="whole" allowBlank="1" showInputMessage="1" showErrorMessage="1" errorTitle="Atención:" error="El valor de los minutos de la longitud ha de estar entre 0' y 59'." sqref="G4:G28" xr:uid="{00000000-0002-0000-0200-000003000000}">
      <formula1>0</formula1>
      <formula2>59</formula2>
    </dataValidation>
    <dataValidation type="decimal" allowBlank="1" showInputMessage="1" showErrorMessage="1" errorTitle="Atención:" error="El valor de los segundos de la longitud ha de estar entre 0'' y &lt; 60''." sqref="H4:H28" xr:uid="{00000000-0002-0000-0200-000004000000}">
      <formula1>0</formula1>
      <formula2>59.9999999999999</formula2>
    </dataValidation>
    <dataValidation type="decimal" allowBlank="1" showInputMessage="1" showErrorMessage="1" errorTitle="Atención:" error="El valor de los segundos de la latitud ha de estar entre 0'' y &lt; 60''." sqref="D4:D28" xr:uid="{00000000-0002-0000-0200-000005000000}">
      <formula1>0</formula1>
      <formula2>59.9999999999999</formula2>
    </dataValidation>
    <dataValidation type="whole" allowBlank="1" showInputMessage="1" showErrorMessage="1" errorTitle="Atención:" error="El valor de los minutos de la latitud ha de estar entre 0' y 59'." sqref="C4:C28" xr:uid="{00000000-0002-0000-0200-000006000000}">
      <formula1>0</formula1>
      <formula2>59</formula2>
    </dataValidation>
    <dataValidation type="whole" allowBlank="1" showInputMessage="1" showErrorMessage="1" errorTitle="Atención:" error="El valor de los grados de la latitud ha de estar entre 84° N y 80° S. Más allá ha de utilizarse UPS._x000a_Para utilizar valores de latitud negativos, utiliza la opción Sur (S) del Ecuador, con el selector situado a la derecha." sqref="B4:B28" xr:uid="{00000000-0002-0000-0200-000007000000}">
      <formula1>0</formula1>
      <formula2>84</formula2>
    </dataValidation>
  </dataValidations>
  <pageMargins left="0.75" right="0.75" top="1" bottom="1" header="0" footer="0"/>
  <pageSetup paperSize="122" orientation="portrait" r:id="rId1"/>
  <headerFooter alignWithMargins="0"/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1:K28"/>
  <sheetViews>
    <sheetView workbookViewId="0">
      <selection activeCell="L15" sqref="L15"/>
    </sheetView>
  </sheetViews>
  <sheetFormatPr defaultColWidth="11.42578125" defaultRowHeight="15"/>
  <cols>
    <col min="1" max="1" width="11.42578125" style="5"/>
    <col min="2" max="3" width="13.7109375" style="5" customWidth="1"/>
    <col min="4" max="16384" width="11.42578125" style="5"/>
  </cols>
  <sheetData>
    <row r="1" spans="2:11" s="1" customFormat="1" ht="18.75">
      <c r="B1" s="3" t="s">
        <v>61</v>
      </c>
    </row>
    <row r="3" spans="2:11">
      <c r="B3" s="2" t="s">
        <v>33</v>
      </c>
      <c r="C3" s="2" t="s">
        <v>34</v>
      </c>
      <c r="D3" s="67" t="s">
        <v>33</v>
      </c>
      <c r="E3" s="68"/>
      <c r="F3" s="68"/>
      <c r="G3" s="69"/>
      <c r="H3" s="68" t="s">
        <v>34</v>
      </c>
      <c r="I3" s="68"/>
      <c r="J3" s="68"/>
      <c r="K3" s="69"/>
    </row>
    <row r="4" spans="2:11">
      <c r="B4" s="9">
        <v>-3.9052246870678524</v>
      </c>
      <c r="C4" s="9">
        <v>-79.574834939055293</v>
      </c>
      <c r="D4" s="49">
        <f>IF($B4="","",ABS(ROUNDDOWN($B4,0)))</f>
        <v>3</v>
      </c>
      <c r="E4" s="50">
        <f>IF($B4="","",ROUNDDOWN(((ABS($B4)-$D4)*60),0))</f>
        <v>54</v>
      </c>
      <c r="F4" s="51">
        <f>IF($B4="","",ROUND((ABS($B4)-($D4+$E4/60))*(60*60),1))</f>
        <v>18.8</v>
      </c>
      <c r="G4" s="52" t="str">
        <f>IF($B4="","",IF($B4&gt;=0,"N","S"))</f>
        <v>S</v>
      </c>
      <c r="H4" s="49">
        <f>IF($C4="","",ABS(ROUNDDOWN($C4,0)))</f>
        <v>79</v>
      </c>
      <c r="I4" s="50">
        <f>IF($C4="","",ROUNDDOWN(((ABS($C4)-$H4)*60),0))</f>
        <v>34</v>
      </c>
      <c r="J4" s="51">
        <f>IF($C4="","",ROUND((ABS($C4)-($H4+$I4/60))*(60*60),1))</f>
        <v>29.4</v>
      </c>
      <c r="K4" s="52" t="str">
        <f>IF($C4="","",IF($C4&gt;=0,"E","W"))</f>
        <v>W</v>
      </c>
    </row>
    <row r="5" spans="2:11">
      <c r="B5" s="9">
        <v>-3.9052246870678524</v>
      </c>
      <c r="C5" s="9">
        <v>-79.574834939055293</v>
      </c>
      <c r="D5" s="49">
        <f t="shared" ref="D5:D28" si="0">IF($B5="","",ABS(ROUNDDOWN($B5,0)))</f>
        <v>3</v>
      </c>
      <c r="E5" s="50">
        <f t="shared" ref="E5:E28" si="1">IF($B5="","",ROUNDDOWN(((ABS($B5)-$D5)*60),0))</f>
        <v>54</v>
      </c>
      <c r="F5" s="51">
        <f t="shared" ref="F5:F28" si="2">IF($B5="","",ROUND((ABS($B5)-($D5+$E5/60))*(60*60),1))</f>
        <v>18.8</v>
      </c>
      <c r="G5" s="52" t="str">
        <f t="shared" ref="G5:G28" si="3">IF($B5="","",IF($B5&gt;=0,"N","S"))</f>
        <v>S</v>
      </c>
      <c r="H5" s="49">
        <f t="shared" ref="H5:H28" si="4">IF($C5="","",ABS(ROUNDDOWN($C5,0)))</f>
        <v>79</v>
      </c>
      <c r="I5" s="50">
        <f t="shared" ref="I5:I28" si="5">IF($C5="","",ROUNDDOWN(((ABS($C5)-$H5)*60),0))</f>
        <v>34</v>
      </c>
      <c r="J5" s="51">
        <f t="shared" ref="J5:J28" si="6">IF($C5="","",ROUND((ABS($C5)-($H5+$I5/60))*(60*60),1))</f>
        <v>29.4</v>
      </c>
      <c r="K5" s="52" t="str">
        <f t="shared" ref="K5:K28" si="7">IF($C5="","",IF($C5&gt;=0,"E","W"))</f>
        <v>W</v>
      </c>
    </row>
    <row r="6" spans="2:11">
      <c r="B6" s="9">
        <v>-3.9052246870678524</v>
      </c>
      <c r="C6" s="9">
        <v>-79.574834939055293</v>
      </c>
      <c r="D6" s="49">
        <f t="shared" si="0"/>
        <v>3</v>
      </c>
      <c r="E6" s="50">
        <f t="shared" si="1"/>
        <v>54</v>
      </c>
      <c r="F6" s="51">
        <f t="shared" si="2"/>
        <v>18.8</v>
      </c>
      <c r="G6" s="52" t="str">
        <f t="shared" si="3"/>
        <v>S</v>
      </c>
      <c r="H6" s="49">
        <f t="shared" si="4"/>
        <v>79</v>
      </c>
      <c r="I6" s="50">
        <f t="shared" si="5"/>
        <v>34</v>
      </c>
      <c r="J6" s="51">
        <f t="shared" si="6"/>
        <v>29.4</v>
      </c>
      <c r="K6" s="52" t="str">
        <f t="shared" si="7"/>
        <v>W</v>
      </c>
    </row>
    <row r="7" spans="2:11">
      <c r="B7" s="9">
        <v>-3.9052246870678524</v>
      </c>
      <c r="C7" s="9">
        <v>-79.574834939055293</v>
      </c>
      <c r="D7" s="49">
        <f t="shared" si="0"/>
        <v>3</v>
      </c>
      <c r="E7" s="50">
        <f t="shared" si="1"/>
        <v>54</v>
      </c>
      <c r="F7" s="51">
        <f t="shared" si="2"/>
        <v>18.8</v>
      </c>
      <c r="G7" s="52" t="str">
        <f t="shared" si="3"/>
        <v>S</v>
      </c>
      <c r="H7" s="49">
        <f t="shared" si="4"/>
        <v>79</v>
      </c>
      <c r="I7" s="50">
        <f t="shared" si="5"/>
        <v>34</v>
      </c>
      <c r="J7" s="51">
        <f t="shared" si="6"/>
        <v>29.4</v>
      </c>
      <c r="K7" s="52" t="str">
        <f t="shared" si="7"/>
        <v>W</v>
      </c>
    </row>
    <row r="8" spans="2:11">
      <c r="B8" s="9">
        <v>-3.9052246870678524</v>
      </c>
      <c r="C8" s="9">
        <v>-79.574834939055293</v>
      </c>
      <c r="D8" s="49">
        <f t="shared" si="0"/>
        <v>3</v>
      </c>
      <c r="E8" s="50">
        <f t="shared" si="1"/>
        <v>54</v>
      </c>
      <c r="F8" s="51">
        <f t="shared" si="2"/>
        <v>18.8</v>
      </c>
      <c r="G8" s="52" t="str">
        <f t="shared" si="3"/>
        <v>S</v>
      </c>
      <c r="H8" s="49">
        <f t="shared" si="4"/>
        <v>79</v>
      </c>
      <c r="I8" s="50">
        <f t="shared" si="5"/>
        <v>34</v>
      </c>
      <c r="J8" s="51">
        <f t="shared" si="6"/>
        <v>29.4</v>
      </c>
      <c r="K8" s="52" t="str">
        <f t="shared" si="7"/>
        <v>W</v>
      </c>
    </row>
    <row r="9" spans="2:11">
      <c r="B9" s="9">
        <v>-3.9052246870678524</v>
      </c>
      <c r="C9" s="9">
        <v>-79.574834939055293</v>
      </c>
      <c r="D9" s="49">
        <f t="shared" si="0"/>
        <v>3</v>
      </c>
      <c r="E9" s="50">
        <f t="shared" si="1"/>
        <v>54</v>
      </c>
      <c r="F9" s="51">
        <f t="shared" si="2"/>
        <v>18.8</v>
      </c>
      <c r="G9" s="52" t="str">
        <f t="shared" si="3"/>
        <v>S</v>
      </c>
      <c r="H9" s="49">
        <f t="shared" si="4"/>
        <v>79</v>
      </c>
      <c r="I9" s="50">
        <f t="shared" si="5"/>
        <v>34</v>
      </c>
      <c r="J9" s="51">
        <f t="shared" si="6"/>
        <v>29.4</v>
      </c>
      <c r="K9" s="52" t="str">
        <f t="shared" si="7"/>
        <v>W</v>
      </c>
    </row>
    <row r="10" spans="2:11">
      <c r="B10" s="9">
        <v>-3.9052246870678524</v>
      </c>
      <c r="C10" s="9">
        <v>-79.574834939055293</v>
      </c>
      <c r="D10" s="49">
        <f t="shared" si="0"/>
        <v>3</v>
      </c>
      <c r="E10" s="50">
        <f t="shared" si="1"/>
        <v>54</v>
      </c>
      <c r="F10" s="51">
        <f t="shared" si="2"/>
        <v>18.8</v>
      </c>
      <c r="G10" s="52" t="str">
        <f t="shared" si="3"/>
        <v>S</v>
      </c>
      <c r="H10" s="49">
        <f t="shared" si="4"/>
        <v>79</v>
      </c>
      <c r="I10" s="50">
        <f t="shared" si="5"/>
        <v>34</v>
      </c>
      <c r="J10" s="51">
        <f t="shared" si="6"/>
        <v>29.4</v>
      </c>
      <c r="K10" s="52" t="str">
        <f t="shared" si="7"/>
        <v>W</v>
      </c>
    </row>
    <row r="11" spans="2:11">
      <c r="B11" s="9">
        <v>-3.9052246870678524</v>
      </c>
      <c r="C11" s="9">
        <v>-79.574834939055293</v>
      </c>
      <c r="D11" s="49">
        <f t="shared" si="0"/>
        <v>3</v>
      </c>
      <c r="E11" s="50">
        <f t="shared" si="1"/>
        <v>54</v>
      </c>
      <c r="F11" s="51">
        <f t="shared" si="2"/>
        <v>18.8</v>
      </c>
      <c r="G11" s="52" t="str">
        <f t="shared" si="3"/>
        <v>S</v>
      </c>
      <c r="H11" s="49">
        <f t="shared" si="4"/>
        <v>79</v>
      </c>
      <c r="I11" s="50">
        <f t="shared" si="5"/>
        <v>34</v>
      </c>
      <c r="J11" s="51">
        <f t="shared" si="6"/>
        <v>29.4</v>
      </c>
      <c r="K11" s="52" t="str">
        <f t="shared" si="7"/>
        <v>W</v>
      </c>
    </row>
    <row r="12" spans="2:11">
      <c r="B12" s="9">
        <v>-3.9052246870678524</v>
      </c>
      <c r="C12" s="9">
        <v>-79.574834939055293</v>
      </c>
      <c r="D12" s="49">
        <f t="shared" si="0"/>
        <v>3</v>
      </c>
      <c r="E12" s="50">
        <f t="shared" si="1"/>
        <v>54</v>
      </c>
      <c r="F12" s="51">
        <f t="shared" si="2"/>
        <v>18.8</v>
      </c>
      <c r="G12" s="52" t="str">
        <f t="shared" si="3"/>
        <v>S</v>
      </c>
      <c r="H12" s="49">
        <f t="shared" si="4"/>
        <v>79</v>
      </c>
      <c r="I12" s="50">
        <f t="shared" si="5"/>
        <v>34</v>
      </c>
      <c r="J12" s="51">
        <f t="shared" si="6"/>
        <v>29.4</v>
      </c>
      <c r="K12" s="52" t="str">
        <f t="shared" si="7"/>
        <v>W</v>
      </c>
    </row>
    <row r="13" spans="2:11">
      <c r="B13" s="9">
        <v>-3.9052246870678524</v>
      </c>
      <c r="C13" s="9">
        <v>-79.574834939055293</v>
      </c>
      <c r="D13" s="49">
        <f t="shared" si="0"/>
        <v>3</v>
      </c>
      <c r="E13" s="50">
        <f t="shared" si="1"/>
        <v>54</v>
      </c>
      <c r="F13" s="51">
        <f t="shared" si="2"/>
        <v>18.8</v>
      </c>
      <c r="G13" s="52" t="str">
        <f t="shared" si="3"/>
        <v>S</v>
      </c>
      <c r="H13" s="49">
        <f t="shared" si="4"/>
        <v>79</v>
      </c>
      <c r="I13" s="50">
        <f t="shared" si="5"/>
        <v>34</v>
      </c>
      <c r="J13" s="51">
        <f t="shared" si="6"/>
        <v>29.4</v>
      </c>
      <c r="K13" s="52" t="str">
        <f t="shared" si="7"/>
        <v>W</v>
      </c>
    </row>
    <row r="14" spans="2:11">
      <c r="B14" s="9">
        <v>-3.9052246870678524</v>
      </c>
      <c r="C14" s="9">
        <v>-79.574834939055293</v>
      </c>
      <c r="D14" s="49">
        <f t="shared" si="0"/>
        <v>3</v>
      </c>
      <c r="E14" s="50">
        <f t="shared" si="1"/>
        <v>54</v>
      </c>
      <c r="F14" s="51">
        <f t="shared" si="2"/>
        <v>18.8</v>
      </c>
      <c r="G14" s="52" t="str">
        <f t="shared" si="3"/>
        <v>S</v>
      </c>
      <c r="H14" s="49">
        <f t="shared" si="4"/>
        <v>79</v>
      </c>
      <c r="I14" s="50">
        <f t="shared" si="5"/>
        <v>34</v>
      </c>
      <c r="J14" s="51">
        <f t="shared" si="6"/>
        <v>29.4</v>
      </c>
      <c r="K14" s="52" t="str">
        <f t="shared" si="7"/>
        <v>W</v>
      </c>
    </row>
    <row r="15" spans="2:11">
      <c r="B15" s="9">
        <v>-3.9052246870678524</v>
      </c>
      <c r="C15" s="9">
        <v>-79.574834939055293</v>
      </c>
      <c r="D15" s="49">
        <f t="shared" si="0"/>
        <v>3</v>
      </c>
      <c r="E15" s="50">
        <f t="shared" si="1"/>
        <v>54</v>
      </c>
      <c r="F15" s="51">
        <f t="shared" si="2"/>
        <v>18.8</v>
      </c>
      <c r="G15" s="52" t="str">
        <f t="shared" si="3"/>
        <v>S</v>
      </c>
      <c r="H15" s="49">
        <f t="shared" si="4"/>
        <v>79</v>
      </c>
      <c r="I15" s="50">
        <f t="shared" si="5"/>
        <v>34</v>
      </c>
      <c r="J15" s="51">
        <f t="shared" si="6"/>
        <v>29.4</v>
      </c>
      <c r="K15" s="52" t="str">
        <f t="shared" si="7"/>
        <v>W</v>
      </c>
    </row>
    <row r="16" spans="2:11">
      <c r="B16" s="9">
        <v>-3.9052246870678524</v>
      </c>
      <c r="C16" s="9">
        <v>-79.574834939055293</v>
      </c>
      <c r="D16" s="49">
        <f t="shared" si="0"/>
        <v>3</v>
      </c>
      <c r="E16" s="50">
        <f t="shared" si="1"/>
        <v>54</v>
      </c>
      <c r="F16" s="51">
        <f t="shared" si="2"/>
        <v>18.8</v>
      </c>
      <c r="G16" s="52" t="str">
        <f t="shared" si="3"/>
        <v>S</v>
      </c>
      <c r="H16" s="49">
        <f t="shared" si="4"/>
        <v>79</v>
      </c>
      <c r="I16" s="50">
        <f t="shared" si="5"/>
        <v>34</v>
      </c>
      <c r="J16" s="51">
        <f t="shared" si="6"/>
        <v>29.4</v>
      </c>
      <c r="K16" s="52" t="str">
        <f t="shared" si="7"/>
        <v>W</v>
      </c>
    </row>
    <row r="17" spans="2:11">
      <c r="B17" s="9">
        <v>-3.9052246870678524</v>
      </c>
      <c r="C17" s="9">
        <v>-79.574834939055293</v>
      </c>
      <c r="D17" s="49">
        <f t="shared" si="0"/>
        <v>3</v>
      </c>
      <c r="E17" s="50">
        <f t="shared" si="1"/>
        <v>54</v>
      </c>
      <c r="F17" s="51">
        <f t="shared" si="2"/>
        <v>18.8</v>
      </c>
      <c r="G17" s="52" t="str">
        <f t="shared" si="3"/>
        <v>S</v>
      </c>
      <c r="H17" s="49">
        <f t="shared" si="4"/>
        <v>79</v>
      </c>
      <c r="I17" s="50">
        <f t="shared" si="5"/>
        <v>34</v>
      </c>
      <c r="J17" s="51">
        <f t="shared" si="6"/>
        <v>29.4</v>
      </c>
      <c r="K17" s="52" t="str">
        <f t="shared" si="7"/>
        <v>W</v>
      </c>
    </row>
    <row r="18" spans="2:11">
      <c r="B18" s="9">
        <v>-3.9052246870678524</v>
      </c>
      <c r="C18" s="9">
        <v>-79.574834939055293</v>
      </c>
      <c r="D18" s="49">
        <f t="shared" si="0"/>
        <v>3</v>
      </c>
      <c r="E18" s="50">
        <f t="shared" si="1"/>
        <v>54</v>
      </c>
      <c r="F18" s="51">
        <f t="shared" si="2"/>
        <v>18.8</v>
      </c>
      <c r="G18" s="52" t="str">
        <f t="shared" si="3"/>
        <v>S</v>
      </c>
      <c r="H18" s="49">
        <f t="shared" si="4"/>
        <v>79</v>
      </c>
      <c r="I18" s="50">
        <f t="shared" si="5"/>
        <v>34</v>
      </c>
      <c r="J18" s="51">
        <f t="shared" si="6"/>
        <v>29.4</v>
      </c>
      <c r="K18" s="52" t="str">
        <f t="shared" si="7"/>
        <v>W</v>
      </c>
    </row>
    <row r="19" spans="2:11">
      <c r="B19" s="9">
        <v>-3.9052246870678524</v>
      </c>
      <c r="C19" s="9">
        <v>-79.574834939055293</v>
      </c>
      <c r="D19" s="49">
        <f t="shared" si="0"/>
        <v>3</v>
      </c>
      <c r="E19" s="50">
        <f t="shared" si="1"/>
        <v>54</v>
      </c>
      <c r="F19" s="51">
        <f t="shared" si="2"/>
        <v>18.8</v>
      </c>
      <c r="G19" s="52" t="str">
        <f t="shared" si="3"/>
        <v>S</v>
      </c>
      <c r="H19" s="49">
        <f t="shared" si="4"/>
        <v>79</v>
      </c>
      <c r="I19" s="50">
        <f t="shared" si="5"/>
        <v>34</v>
      </c>
      <c r="J19" s="51">
        <f t="shared" si="6"/>
        <v>29.4</v>
      </c>
      <c r="K19" s="52" t="str">
        <f t="shared" si="7"/>
        <v>W</v>
      </c>
    </row>
    <row r="20" spans="2:11">
      <c r="B20" s="9">
        <v>-3.9052246870678524</v>
      </c>
      <c r="C20" s="9">
        <v>-79.574834939055293</v>
      </c>
      <c r="D20" s="49">
        <f t="shared" si="0"/>
        <v>3</v>
      </c>
      <c r="E20" s="50">
        <f t="shared" si="1"/>
        <v>54</v>
      </c>
      <c r="F20" s="51">
        <f t="shared" si="2"/>
        <v>18.8</v>
      </c>
      <c r="G20" s="52" t="str">
        <f t="shared" si="3"/>
        <v>S</v>
      </c>
      <c r="H20" s="49">
        <f t="shared" si="4"/>
        <v>79</v>
      </c>
      <c r="I20" s="50">
        <f t="shared" si="5"/>
        <v>34</v>
      </c>
      <c r="J20" s="51">
        <f t="shared" si="6"/>
        <v>29.4</v>
      </c>
      <c r="K20" s="52" t="str">
        <f t="shared" si="7"/>
        <v>W</v>
      </c>
    </row>
    <row r="21" spans="2:11">
      <c r="B21" s="9">
        <v>-3.9052246870678524</v>
      </c>
      <c r="C21" s="9">
        <v>-79.574834939055293</v>
      </c>
      <c r="D21" s="49">
        <f t="shared" si="0"/>
        <v>3</v>
      </c>
      <c r="E21" s="50">
        <f t="shared" si="1"/>
        <v>54</v>
      </c>
      <c r="F21" s="51">
        <f t="shared" si="2"/>
        <v>18.8</v>
      </c>
      <c r="G21" s="52" t="str">
        <f t="shared" si="3"/>
        <v>S</v>
      </c>
      <c r="H21" s="49">
        <f t="shared" si="4"/>
        <v>79</v>
      </c>
      <c r="I21" s="50">
        <f t="shared" si="5"/>
        <v>34</v>
      </c>
      <c r="J21" s="51">
        <f t="shared" si="6"/>
        <v>29.4</v>
      </c>
      <c r="K21" s="52" t="str">
        <f t="shared" si="7"/>
        <v>W</v>
      </c>
    </row>
    <row r="22" spans="2:11">
      <c r="B22" s="9">
        <v>-3.9052246870678524</v>
      </c>
      <c r="C22" s="9">
        <v>-79.574834939055293</v>
      </c>
      <c r="D22" s="49">
        <f t="shared" si="0"/>
        <v>3</v>
      </c>
      <c r="E22" s="50">
        <f t="shared" si="1"/>
        <v>54</v>
      </c>
      <c r="F22" s="51">
        <f t="shared" si="2"/>
        <v>18.8</v>
      </c>
      <c r="G22" s="52" t="str">
        <f t="shared" si="3"/>
        <v>S</v>
      </c>
      <c r="H22" s="49">
        <f t="shared" si="4"/>
        <v>79</v>
      </c>
      <c r="I22" s="50">
        <f t="shared" si="5"/>
        <v>34</v>
      </c>
      <c r="J22" s="51">
        <f t="shared" si="6"/>
        <v>29.4</v>
      </c>
      <c r="K22" s="52" t="str">
        <f t="shared" si="7"/>
        <v>W</v>
      </c>
    </row>
    <row r="23" spans="2:11">
      <c r="B23" s="9">
        <v>-3.9052246870678524</v>
      </c>
      <c r="C23" s="9">
        <v>-79.574834939055293</v>
      </c>
      <c r="D23" s="49">
        <f t="shared" si="0"/>
        <v>3</v>
      </c>
      <c r="E23" s="50">
        <f t="shared" si="1"/>
        <v>54</v>
      </c>
      <c r="F23" s="51">
        <f t="shared" si="2"/>
        <v>18.8</v>
      </c>
      <c r="G23" s="52" t="str">
        <f t="shared" si="3"/>
        <v>S</v>
      </c>
      <c r="H23" s="49">
        <f t="shared" si="4"/>
        <v>79</v>
      </c>
      <c r="I23" s="50">
        <f t="shared" si="5"/>
        <v>34</v>
      </c>
      <c r="J23" s="51">
        <f t="shared" si="6"/>
        <v>29.4</v>
      </c>
      <c r="K23" s="52" t="str">
        <f t="shared" si="7"/>
        <v>W</v>
      </c>
    </row>
    <row r="24" spans="2:11">
      <c r="B24" s="9">
        <v>-3.9052246870678524</v>
      </c>
      <c r="C24" s="9">
        <v>-79.574834939055293</v>
      </c>
      <c r="D24" s="49">
        <f t="shared" si="0"/>
        <v>3</v>
      </c>
      <c r="E24" s="50">
        <f t="shared" si="1"/>
        <v>54</v>
      </c>
      <c r="F24" s="51">
        <f t="shared" si="2"/>
        <v>18.8</v>
      </c>
      <c r="G24" s="52" t="str">
        <f t="shared" si="3"/>
        <v>S</v>
      </c>
      <c r="H24" s="49">
        <f t="shared" si="4"/>
        <v>79</v>
      </c>
      <c r="I24" s="50">
        <f t="shared" si="5"/>
        <v>34</v>
      </c>
      <c r="J24" s="51">
        <f t="shared" si="6"/>
        <v>29.4</v>
      </c>
      <c r="K24" s="52" t="str">
        <f t="shared" si="7"/>
        <v>W</v>
      </c>
    </row>
    <row r="25" spans="2:11">
      <c r="B25" s="9">
        <v>-3.9052246870678524</v>
      </c>
      <c r="C25" s="9">
        <v>-79.574834939055293</v>
      </c>
      <c r="D25" s="49">
        <f t="shared" si="0"/>
        <v>3</v>
      </c>
      <c r="E25" s="50">
        <f t="shared" si="1"/>
        <v>54</v>
      </c>
      <c r="F25" s="51">
        <f t="shared" si="2"/>
        <v>18.8</v>
      </c>
      <c r="G25" s="52" t="str">
        <f t="shared" si="3"/>
        <v>S</v>
      </c>
      <c r="H25" s="49">
        <f t="shared" si="4"/>
        <v>79</v>
      </c>
      <c r="I25" s="50">
        <f t="shared" si="5"/>
        <v>34</v>
      </c>
      <c r="J25" s="51">
        <f t="shared" si="6"/>
        <v>29.4</v>
      </c>
      <c r="K25" s="52" t="str">
        <f t="shared" si="7"/>
        <v>W</v>
      </c>
    </row>
    <row r="26" spans="2:11">
      <c r="B26" s="9">
        <v>-3.9052246870678524</v>
      </c>
      <c r="C26" s="9">
        <v>-79.574834939055293</v>
      </c>
      <c r="D26" s="49">
        <f t="shared" si="0"/>
        <v>3</v>
      </c>
      <c r="E26" s="50">
        <f t="shared" si="1"/>
        <v>54</v>
      </c>
      <c r="F26" s="51">
        <f t="shared" si="2"/>
        <v>18.8</v>
      </c>
      <c r="G26" s="52" t="str">
        <f t="shared" si="3"/>
        <v>S</v>
      </c>
      <c r="H26" s="49">
        <f t="shared" si="4"/>
        <v>79</v>
      </c>
      <c r="I26" s="50">
        <f t="shared" si="5"/>
        <v>34</v>
      </c>
      <c r="J26" s="51">
        <f t="shared" si="6"/>
        <v>29.4</v>
      </c>
      <c r="K26" s="52" t="str">
        <f t="shared" si="7"/>
        <v>W</v>
      </c>
    </row>
    <row r="27" spans="2:11">
      <c r="B27" s="9">
        <v>-3.9052246870678524</v>
      </c>
      <c r="C27" s="9">
        <v>-79.574834939055293</v>
      </c>
      <c r="D27" s="49">
        <f t="shared" si="0"/>
        <v>3</v>
      </c>
      <c r="E27" s="50">
        <f t="shared" si="1"/>
        <v>54</v>
      </c>
      <c r="F27" s="51">
        <f t="shared" si="2"/>
        <v>18.8</v>
      </c>
      <c r="G27" s="52" t="str">
        <f t="shared" si="3"/>
        <v>S</v>
      </c>
      <c r="H27" s="49">
        <f t="shared" si="4"/>
        <v>79</v>
      </c>
      <c r="I27" s="50">
        <f t="shared" si="5"/>
        <v>34</v>
      </c>
      <c r="J27" s="51">
        <f t="shared" si="6"/>
        <v>29.4</v>
      </c>
      <c r="K27" s="52" t="str">
        <f t="shared" si="7"/>
        <v>W</v>
      </c>
    </row>
    <row r="28" spans="2:11">
      <c r="B28" s="9">
        <v>-3.9052246870678524</v>
      </c>
      <c r="C28" s="9">
        <v>-79.574834939055293</v>
      </c>
      <c r="D28" s="49">
        <f t="shared" si="0"/>
        <v>3</v>
      </c>
      <c r="E28" s="50">
        <f t="shared" si="1"/>
        <v>54</v>
      </c>
      <c r="F28" s="51">
        <f t="shared" si="2"/>
        <v>18.8</v>
      </c>
      <c r="G28" s="52" t="str">
        <f t="shared" si="3"/>
        <v>S</v>
      </c>
      <c r="H28" s="49">
        <f t="shared" si="4"/>
        <v>79</v>
      </c>
      <c r="I28" s="50">
        <f t="shared" si="5"/>
        <v>34</v>
      </c>
      <c r="J28" s="51">
        <f t="shared" si="6"/>
        <v>29.4</v>
      </c>
      <c r="K28" s="52" t="str">
        <f t="shared" si="7"/>
        <v>W</v>
      </c>
    </row>
  </sheetData>
  <mergeCells count="2">
    <mergeCell ref="D3:G3"/>
    <mergeCell ref="H3:K3"/>
  </mergeCells>
  <dataValidations count="8">
    <dataValidation type="whole" allowBlank="1" showInputMessage="1" showErrorMessage="1" errorTitle="Atención:" error="El valor de los grados de la latitud ha de estar entre 84° N y 80° S. Más allá ha de utilizarse UPS._x000a_Para utilizar valores de latitud negativos, utiliza la opción Sur (S) del Ecuador, con el selector situado a la derecha." sqref="D4:D28" xr:uid="{00000000-0002-0000-0300-000000000000}">
      <formula1>0</formula1>
      <formula2>84</formula2>
    </dataValidation>
    <dataValidation type="whole" allowBlank="1" showInputMessage="1" showErrorMessage="1" errorTitle="Atención:" error="El valor de los minutos de la latitud ha de estar entre 0' y 59'." sqref="E4:E28" xr:uid="{00000000-0002-0000-0300-000001000000}">
      <formula1>0</formula1>
      <formula2>59</formula2>
    </dataValidation>
    <dataValidation type="decimal" allowBlank="1" showInputMessage="1" showErrorMessage="1" errorTitle="Atención:" error="El valor de los segundos de la latitud ha de estar entre 0'' y &lt; 60''." sqref="F4:F28" xr:uid="{00000000-0002-0000-0300-000002000000}">
      <formula1>0</formula1>
      <formula2>59.9999999999999</formula2>
    </dataValidation>
    <dataValidation type="decimal" allowBlank="1" showInputMessage="1" showErrorMessage="1" errorTitle="Atención:" error="El valor de los segundos de la longitud ha de estar entre 0'' y &lt; 60''." sqref="J4:J28" xr:uid="{00000000-0002-0000-0300-000003000000}">
      <formula1>0</formula1>
      <formula2>59.9999999999999</formula2>
    </dataValidation>
    <dataValidation type="whole" allowBlank="1" showInputMessage="1" showErrorMessage="1" errorTitle="Atención:" error="El valor de los minutos de la longitud ha de estar entre 0' y 59'." sqref="I4:I28" xr:uid="{00000000-0002-0000-0300-000004000000}">
      <formula1>0</formula1>
      <formula2>59</formula2>
    </dataValidation>
    <dataValidation type="whole" allowBlank="1" showInputMessage="1" showErrorMessage="1" errorTitle="Atención:" error="El valor de los grados de la longitud ha de estar entre 0° y 180°. Para utilizar valores de longitud negativos, utiliza la opción Oeste (W) o Este (E) del meridiano Greenwich, con el selector situado a la derecha." sqref="H4:H28" xr:uid="{00000000-0002-0000-0300-000005000000}">
      <formula1>0</formula1>
      <formula2>180</formula2>
    </dataValidation>
    <dataValidation type="list" allowBlank="1" showInputMessage="1" showErrorMessage="1" errorTitle="Atención:" error="Introduce CON MAYÚSCULAS uno de estos dos valores:_x000a_- N, si la latitud está referida al norte del Ecuador._x000a_- S, si la latitud está referida al sur del Ecuador." sqref="G4:G28" xr:uid="{00000000-0002-0000-0300-000006000000}">
      <formula1>"N,S"</formula1>
    </dataValidation>
    <dataValidation type="list" allowBlank="1" showInputMessage="1" showErrorMessage="1" errorTitle="Atención" error="Introduce CON MAYÚSCULAS uno de estos dos valores:_x000a_- W, si la longitud está referida al oeste del meridiano Greenwich._x000a_- E, si la longitud está referida al este del meridiano Greenwich." sqref="K4:K28" xr:uid="{00000000-0002-0000-0300-000007000000}">
      <formula1>"W,E"</formula1>
    </dataValidation>
  </dataValidations>
  <pageMargins left="0.75" right="0.75" top="1" bottom="1" header="0" footer="0"/>
  <pageSetup paperSize="122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Conversor de coordenadas</dc:title>
  <dc:subject/>
  <dc:creator>ArcGeek</dc:creator>
  <cp:keywords>wgs84; utm; sistemas de información geográfica; geográficas</cp:keywords>
  <dc:description/>
  <cp:lastModifiedBy/>
  <cp:revision/>
  <dcterms:created xsi:type="dcterms:W3CDTF">2009-07-28T20:34:52Z</dcterms:created>
  <dcterms:modified xsi:type="dcterms:W3CDTF">2026-05-28T19:16:52Z</dcterms:modified>
  <cp:category/>
  <cp:contentStatus/>
</cp:coreProperties>
</file>